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chartsheets/sheet9.xml" ContentType="application/vnd.openxmlformats-officedocument.spreadsheetml.chart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0.xml" ContentType="application/vnd.openxmlformats-officedocument.drawing+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22995" windowHeight="11835" activeTab="2"/>
  </bookViews>
  <sheets>
    <sheet name="Estimator" sheetId="2" r:id="rId1"/>
    <sheet name="Utilities" sheetId="3" r:id="rId2"/>
    <sheet name="NOTICE" sheetId="14" r:id="rId3"/>
    <sheet name="sun_ch" sheetId="4" r:id="rId4"/>
    <sheet name="COS_SIGMA_ch" sheetId="5" r:id="rId5"/>
    <sheet name="P_D_ch" sheetId="7" r:id="rId6"/>
    <sheet name="P_S_ch" sheetId="8" r:id="rId7"/>
    <sheet name="P_C_ch" sheetId="9" r:id="rId8"/>
    <sheet name="P_G_ch" sheetId="10" r:id="rId9"/>
    <sheet name="P_HS_ch" sheetId="11" r:id="rId10"/>
    <sheet name="ROI_ch" sheetId="12" r:id="rId11"/>
    <sheet name="DNI_ch" sheetId="13" r:id="rId12"/>
  </sheets>
  <calcPr calcId="125725"/>
</workbook>
</file>

<file path=xl/calcChain.xml><?xml version="1.0" encoding="utf-8"?>
<calcChain xmlns="http://schemas.openxmlformats.org/spreadsheetml/2006/main">
  <c r="E23" i="3"/>
  <c r="DS36" i="2"/>
  <c r="DR36"/>
  <c r="DQ36"/>
  <c r="DP36"/>
  <c r="DO36"/>
  <c r="DN36"/>
  <c r="DM36"/>
  <c r="DL36"/>
  <c r="DK36"/>
  <c r="DJ36"/>
  <c r="DI36"/>
  <c r="DH36"/>
  <c r="D63"/>
  <c r="D62"/>
  <c r="D61"/>
  <c r="D60"/>
  <c r="D44"/>
  <c r="D43"/>
  <c r="D42"/>
  <c r="D41"/>
  <c r="D40"/>
  <c r="D39"/>
  <c r="D38"/>
  <c r="D37"/>
  <c r="D72" l="1"/>
  <c r="AF29"/>
  <c r="AF28"/>
  <c r="AF27"/>
  <c r="AF26"/>
  <c r="AF25"/>
  <c r="AF24"/>
  <c r="AF23"/>
  <c r="AF22"/>
  <c r="AF21"/>
  <c r="AF20"/>
  <c r="AF19"/>
  <c r="AF18"/>
  <c r="AF17"/>
  <c r="AF16"/>
  <c r="AF15"/>
  <c r="AF14"/>
  <c r="AF13"/>
  <c r="AF12"/>
  <c r="AF11"/>
  <c r="AF10"/>
  <c r="AF9"/>
  <c r="AF8"/>
  <c r="AF7"/>
  <c r="AF6"/>
  <c r="AF5"/>
  <c r="D56" l="1"/>
  <c r="D53"/>
  <c r="D54" s="1"/>
  <c r="D52"/>
  <c r="D51"/>
  <c r="D50"/>
  <c r="D49"/>
  <c r="D48"/>
  <c r="D47"/>
  <c r="D46"/>
  <c r="D45"/>
  <c r="U70"/>
  <c r="U71" s="1"/>
  <c r="U72" s="1"/>
  <c r="U73" s="1"/>
  <c r="U74" s="1"/>
  <c r="U75" s="1"/>
  <c r="U76" s="1"/>
  <c r="U77" s="1"/>
  <c r="U78" s="1"/>
  <c r="U79" s="1"/>
  <c r="U80" s="1"/>
  <c r="U81" s="1"/>
  <c r="U82" s="1"/>
  <c r="U83" s="1"/>
  <c r="U84" s="1"/>
  <c r="U85" s="1"/>
  <c r="U86" s="1"/>
  <c r="U87" s="1"/>
  <c r="U88" s="1"/>
  <c r="U89" s="1"/>
  <c r="U90" s="1"/>
  <c r="U91" s="1"/>
  <c r="U92" s="1"/>
  <c r="O70"/>
  <c r="O71" s="1"/>
  <c r="O72" s="1"/>
  <c r="O73" s="1"/>
  <c r="O74" s="1"/>
  <c r="O75" s="1"/>
  <c r="O76" s="1"/>
  <c r="O77" s="1"/>
  <c r="O78" s="1"/>
  <c r="O79" s="1"/>
  <c r="O80" s="1"/>
  <c r="O81" s="1"/>
  <c r="O82" s="1"/>
  <c r="O83" s="1"/>
  <c r="O84" s="1"/>
  <c r="O85" s="1"/>
  <c r="O86" s="1"/>
  <c r="O87" s="1"/>
  <c r="O88" s="1"/>
  <c r="O89" s="1"/>
  <c r="O90" s="1"/>
  <c r="O91" s="1"/>
  <c r="O92" s="1"/>
  <c r="EO41"/>
  <c r="EO42" s="1"/>
  <c r="EO43" s="1"/>
  <c r="EO44" s="1"/>
  <c r="EO45" s="1"/>
  <c r="EO46" s="1"/>
  <c r="EO47" s="1"/>
  <c r="EO48" s="1"/>
  <c r="EO49" s="1"/>
  <c r="EO50" s="1"/>
  <c r="EO51" s="1"/>
  <c r="EO52" s="1"/>
  <c r="EO53" s="1"/>
  <c r="EO54" s="1"/>
  <c r="EO55" s="1"/>
  <c r="EO56" s="1"/>
  <c r="EO57" s="1"/>
  <c r="EO58" s="1"/>
  <c r="EO59" s="1"/>
  <c r="EO60" s="1"/>
  <c r="EO61" s="1"/>
  <c r="EO62" s="1"/>
  <c r="EO63" s="1"/>
  <c r="EO64" s="1"/>
  <c r="EO65" s="1"/>
  <c r="EO66" s="1"/>
  <c r="EO67" s="1"/>
  <c r="EO68" s="1"/>
  <c r="EO69" s="1"/>
  <c r="EO70" s="1"/>
  <c r="EO71" s="1"/>
  <c r="EO72" s="1"/>
  <c r="EO73" s="1"/>
  <c r="EO74" s="1"/>
  <c r="EO75" s="1"/>
  <c r="EO76" s="1"/>
  <c r="EO77" s="1"/>
  <c r="EO78" s="1"/>
  <c r="EO79" s="1"/>
  <c r="EO80" s="1"/>
  <c r="EO81" s="1"/>
  <c r="EO82" s="1"/>
  <c r="EO83" s="1"/>
  <c r="EO84" s="1"/>
  <c r="EO85" s="1"/>
  <c r="EO86" s="1"/>
  <c r="EO87" s="1"/>
  <c r="EO88" s="1"/>
  <c r="EO89" s="1"/>
  <c r="EO90" s="1"/>
  <c r="EO91" s="1"/>
  <c r="EO92" s="1"/>
  <c r="EO93" s="1"/>
  <c r="EO94" s="1"/>
  <c r="EO95" s="1"/>
  <c r="EO96" s="1"/>
  <c r="EO97" s="1"/>
  <c r="EO98" s="1"/>
  <c r="EO99" s="1"/>
  <c r="EO100" s="1"/>
  <c r="EO101" s="1"/>
  <c r="EO102" s="1"/>
  <c r="EO103" s="1"/>
  <c r="EO104" s="1"/>
  <c r="EO105" s="1"/>
  <c r="EO106" s="1"/>
  <c r="EO107" s="1"/>
  <c r="EO108" s="1"/>
  <c r="EO109" s="1"/>
  <c r="EO110" s="1"/>
  <c r="EO111" s="1"/>
  <c r="EO112" s="1"/>
  <c r="EO113" s="1"/>
  <c r="EO114" s="1"/>
  <c r="EO115" s="1"/>
  <c r="EO116" s="1"/>
  <c r="EO117" s="1"/>
  <c r="EO118" s="1"/>
  <c r="EO119" s="1"/>
  <c r="EO120" s="1"/>
  <c r="EO121" s="1"/>
  <c r="EO122" s="1"/>
  <c r="EO123" s="1"/>
  <c r="EO124" s="1"/>
  <c r="EO125" s="1"/>
  <c r="EO126" s="1"/>
  <c r="EO127" s="1"/>
  <c r="EO128" s="1"/>
  <c r="EO129" s="1"/>
  <c r="EO40"/>
  <c r="EE42"/>
  <c r="EE43" s="1"/>
  <c r="EE44" s="1"/>
  <c r="EE45" s="1"/>
  <c r="EE46" s="1"/>
  <c r="EE47" s="1"/>
  <c r="EE48" s="1"/>
  <c r="EE49" s="1"/>
  <c r="EE50" s="1"/>
  <c r="EE51" s="1"/>
  <c r="EE52" s="1"/>
  <c r="EE53" s="1"/>
  <c r="EE54" s="1"/>
  <c r="EE55" s="1"/>
  <c r="EE56" s="1"/>
  <c r="EE57" s="1"/>
  <c r="EE58" s="1"/>
  <c r="EE59" s="1"/>
  <c r="EE60" s="1"/>
  <c r="EE61" s="1"/>
  <c r="EE62" s="1"/>
  <c r="EE63" s="1"/>
  <c r="EE64" s="1"/>
  <c r="EE65" s="1"/>
  <c r="EE66" s="1"/>
  <c r="EE67" s="1"/>
  <c r="EE68" s="1"/>
  <c r="EE69" s="1"/>
  <c r="EE70" s="1"/>
  <c r="EE71" s="1"/>
  <c r="EE72" s="1"/>
  <c r="EE73" s="1"/>
  <c r="EE74" s="1"/>
  <c r="EE75" s="1"/>
  <c r="EE76" s="1"/>
  <c r="EE77" s="1"/>
  <c r="EE78" s="1"/>
  <c r="EE79" s="1"/>
  <c r="EE80" s="1"/>
  <c r="EE81" s="1"/>
  <c r="EE82" s="1"/>
  <c r="EE83" s="1"/>
  <c r="EE84" s="1"/>
  <c r="EE85" s="1"/>
  <c r="EE86" s="1"/>
  <c r="EE87" s="1"/>
  <c r="EE88" s="1"/>
  <c r="EE89" s="1"/>
  <c r="EE90" s="1"/>
  <c r="EE91" s="1"/>
  <c r="EE92" s="1"/>
  <c r="EE93" s="1"/>
  <c r="EE94" s="1"/>
  <c r="EE95" s="1"/>
  <c r="EE96" s="1"/>
  <c r="EE97" s="1"/>
  <c r="EE98" s="1"/>
  <c r="EE99" s="1"/>
  <c r="EE100" s="1"/>
  <c r="EE101" s="1"/>
  <c r="EE102" s="1"/>
  <c r="EE103" s="1"/>
  <c r="EE104" s="1"/>
  <c r="EE105" s="1"/>
  <c r="EE106" s="1"/>
  <c r="EE107" s="1"/>
  <c r="EE108" s="1"/>
  <c r="EE109" s="1"/>
  <c r="EE110" s="1"/>
  <c r="EE111" s="1"/>
  <c r="EE112" s="1"/>
  <c r="EE113" s="1"/>
  <c r="EE114" s="1"/>
  <c r="EE115" s="1"/>
  <c r="EE116" s="1"/>
  <c r="EE117" s="1"/>
  <c r="EE118" s="1"/>
  <c r="EE119" s="1"/>
  <c r="EE120" s="1"/>
  <c r="EE121" s="1"/>
  <c r="EE122" s="1"/>
  <c r="EE123" s="1"/>
  <c r="EE124" s="1"/>
  <c r="EE125" s="1"/>
  <c r="EE126" s="1"/>
  <c r="EE127" s="1"/>
  <c r="EE128" s="1"/>
  <c r="EE129" s="1"/>
  <c r="EE41"/>
  <c r="EE40"/>
  <c r="DS127"/>
  <c r="DR121"/>
  <c r="DQ127"/>
  <c r="DP128"/>
  <c r="DO128"/>
  <c r="DN120"/>
  <c r="DM129"/>
  <c r="DL129"/>
  <c r="DK128"/>
  <c r="DJ128"/>
  <c r="DI128"/>
  <c r="DH128"/>
  <c r="DU44"/>
  <c r="DU45" s="1"/>
  <c r="DU46" s="1"/>
  <c r="DU47" s="1"/>
  <c r="DU48" s="1"/>
  <c r="DU49" s="1"/>
  <c r="DU50" s="1"/>
  <c r="DU51" s="1"/>
  <c r="DU52" s="1"/>
  <c r="DU53" s="1"/>
  <c r="DU54" s="1"/>
  <c r="DU55" s="1"/>
  <c r="DU56" s="1"/>
  <c r="DU57" s="1"/>
  <c r="DU58" s="1"/>
  <c r="DU59" s="1"/>
  <c r="DU60" s="1"/>
  <c r="DU61" s="1"/>
  <c r="DU62" s="1"/>
  <c r="DU63" s="1"/>
  <c r="DU64" s="1"/>
  <c r="DU65" s="1"/>
  <c r="DU66" s="1"/>
  <c r="DU67" s="1"/>
  <c r="DU68" s="1"/>
  <c r="DU69" s="1"/>
  <c r="DU70" s="1"/>
  <c r="DU71" s="1"/>
  <c r="DU72" s="1"/>
  <c r="DU73" s="1"/>
  <c r="DU74" s="1"/>
  <c r="DU75" s="1"/>
  <c r="DU76" s="1"/>
  <c r="DU77" s="1"/>
  <c r="DU78" s="1"/>
  <c r="DU79" s="1"/>
  <c r="DU80" s="1"/>
  <c r="DU81" s="1"/>
  <c r="DU82" s="1"/>
  <c r="DU83" s="1"/>
  <c r="DU84" s="1"/>
  <c r="DU85" s="1"/>
  <c r="DU86" s="1"/>
  <c r="DU87" s="1"/>
  <c r="DU88" s="1"/>
  <c r="DU89" s="1"/>
  <c r="DU90" s="1"/>
  <c r="DU91" s="1"/>
  <c r="DU92" s="1"/>
  <c r="DU93" s="1"/>
  <c r="DU94" s="1"/>
  <c r="DU95" s="1"/>
  <c r="DU96" s="1"/>
  <c r="DU97" s="1"/>
  <c r="DU98" s="1"/>
  <c r="DU99" s="1"/>
  <c r="DU100" s="1"/>
  <c r="DU101" s="1"/>
  <c r="DU102" s="1"/>
  <c r="DU103" s="1"/>
  <c r="DU104" s="1"/>
  <c r="DU105" s="1"/>
  <c r="DU106" s="1"/>
  <c r="DU107" s="1"/>
  <c r="DU108" s="1"/>
  <c r="DU109" s="1"/>
  <c r="DU110" s="1"/>
  <c r="DU111" s="1"/>
  <c r="DU112" s="1"/>
  <c r="DU113" s="1"/>
  <c r="DU114" s="1"/>
  <c r="DU115" s="1"/>
  <c r="DU116" s="1"/>
  <c r="DU117" s="1"/>
  <c r="DU118" s="1"/>
  <c r="DU119" s="1"/>
  <c r="DU120" s="1"/>
  <c r="DU121" s="1"/>
  <c r="DU122" s="1"/>
  <c r="DU123" s="1"/>
  <c r="DU124" s="1"/>
  <c r="DU125" s="1"/>
  <c r="DU126" s="1"/>
  <c r="DU127" s="1"/>
  <c r="DU128" s="1"/>
  <c r="DU129" s="1"/>
  <c r="DU43"/>
  <c r="DU42"/>
  <c r="DU41"/>
  <c r="DU40"/>
  <c r="DG44"/>
  <c r="DG45" s="1"/>
  <c r="DG46" s="1"/>
  <c r="DG47" s="1"/>
  <c r="DG48" s="1"/>
  <c r="DG49" s="1"/>
  <c r="DG50" s="1"/>
  <c r="DG51" s="1"/>
  <c r="DG52" s="1"/>
  <c r="DG53" s="1"/>
  <c r="DG54" s="1"/>
  <c r="DG55" s="1"/>
  <c r="DG56" s="1"/>
  <c r="DG57" s="1"/>
  <c r="DG58" s="1"/>
  <c r="DG59" s="1"/>
  <c r="DG60" s="1"/>
  <c r="DG61" s="1"/>
  <c r="DG62" s="1"/>
  <c r="DG63" s="1"/>
  <c r="DG64" s="1"/>
  <c r="DG65" s="1"/>
  <c r="DG66" s="1"/>
  <c r="DG67" s="1"/>
  <c r="DG68" s="1"/>
  <c r="DG69" s="1"/>
  <c r="DG70" s="1"/>
  <c r="DG71" s="1"/>
  <c r="DG72" s="1"/>
  <c r="DG73" s="1"/>
  <c r="DG74" s="1"/>
  <c r="DG75" s="1"/>
  <c r="DG76" s="1"/>
  <c r="DG77" s="1"/>
  <c r="DG78" s="1"/>
  <c r="DG79" s="1"/>
  <c r="DG80" s="1"/>
  <c r="DG81" s="1"/>
  <c r="DG82" s="1"/>
  <c r="DG83" s="1"/>
  <c r="DG84" s="1"/>
  <c r="DG85" s="1"/>
  <c r="DG86" s="1"/>
  <c r="DG87" s="1"/>
  <c r="DG88" s="1"/>
  <c r="DG89" s="1"/>
  <c r="DG90" s="1"/>
  <c r="DG91" s="1"/>
  <c r="DG92" s="1"/>
  <c r="DG93" s="1"/>
  <c r="DG94" s="1"/>
  <c r="DG95" s="1"/>
  <c r="DG96" s="1"/>
  <c r="DG97" s="1"/>
  <c r="DG98" s="1"/>
  <c r="DG99" s="1"/>
  <c r="DG100" s="1"/>
  <c r="DG101" s="1"/>
  <c r="DG102" s="1"/>
  <c r="DG103" s="1"/>
  <c r="DG104" s="1"/>
  <c r="DG105" s="1"/>
  <c r="DG106" s="1"/>
  <c r="DG107" s="1"/>
  <c r="DG108" s="1"/>
  <c r="DG109" s="1"/>
  <c r="DG110" s="1"/>
  <c r="DG111" s="1"/>
  <c r="DG112" s="1"/>
  <c r="DG113" s="1"/>
  <c r="DG114" s="1"/>
  <c r="DG115" s="1"/>
  <c r="DG116" s="1"/>
  <c r="DG117" s="1"/>
  <c r="DG118" s="1"/>
  <c r="DG119" s="1"/>
  <c r="DG120" s="1"/>
  <c r="DG121" s="1"/>
  <c r="DG122" s="1"/>
  <c r="DG123" s="1"/>
  <c r="DG124" s="1"/>
  <c r="DG125" s="1"/>
  <c r="DG126" s="1"/>
  <c r="DG127" s="1"/>
  <c r="DG128" s="1"/>
  <c r="DG129" s="1"/>
  <c r="DG43"/>
  <c r="DG42"/>
  <c r="DG41"/>
  <c r="DG40"/>
  <c r="D57" l="1"/>
  <c r="D58" s="1"/>
  <c r="D59" s="1"/>
  <c r="DL99"/>
  <c r="DL50"/>
  <c r="DN49"/>
  <c r="DL81"/>
  <c r="DL72"/>
  <c r="DL63"/>
  <c r="DL57"/>
  <c r="DK118"/>
  <c r="DL44"/>
  <c r="DK91"/>
  <c r="DL126"/>
  <c r="DK43"/>
  <c r="DL117"/>
  <c r="DK40"/>
  <c r="DL108"/>
  <c r="DL90"/>
  <c r="DI61"/>
  <c r="DL42"/>
  <c r="DL56"/>
  <c r="DN70"/>
  <c r="DN88"/>
  <c r="DN106"/>
  <c r="DN124"/>
  <c r="DI40"/>
  <c r="DK121"/>
  <c r="DL41"/>
  <c r="DL51"/>
  <c r="DN65"/>
  <c r="DN82"/>
  <c r="DN100"/>
  <c r="DN118"/>
  <c r="DI66"/>
  <c r="DN50"/>
  <c r="DL65"/>
  <c r="DN81"/>
  <c r="DN99"/>
  <c r="DN117"/>
  <c r="DI115"/>
  <c r="DN64"/>
  <c r="DI97"/>
  <c r="DN63"/>
  <c r="DN80"/>
  <c r="DN98"/>
  <c r="DN116"/>
  <c r="DN48"/>
  <c r="DN79"/>
  <c r="DN97"/>
  <c r="DN115"/>
  <c r="DI90"/>
  <c r="DL48"/>
  <c r="DL59"/>
  <c r="DN74"/>
  <c r="DN92"/>
  <c r="DN110"/>
  <c r="DN128"/>
  <c r="DK67"/>
  <c r="DN44"/>
  <c r="DN58"/>
  <c r="DN73"/>
  <c r="DN91"/>
  <c r="DN109"/>
  <c r="DN127"/>
  <c r="DN57"/>
  <c r="DN72"/>
  <c r="DN90"/>
  <c r="DN108"/>
  <c r="DN126"/>
  <c r="DN43"/>
  <c r="DN42"/>
  <c r="DN56"/>
  <c r="DN71"/>
  <c r="DN89"/>
  <c r="DN107"/>
  <c r="DN125"/>
  <c r="DN41"/>
  <c r="DN51"/>
  <c r="DL66"/>
  <c r="DN83"/>
  <c r="DN101"/>
  <c r="DN119"/>
  <c r="DK64"/>
  <c r="DK109"/>
  <c r="DR55"/>
  <c r="DR103"/>
  <c r="DK55"/>
  <c r="DK79"/>
  <c r="DI108"/>
  <c r="DN55"/>
  <c r="DR77"/>
  <c r="DI79"/>
  <c r="DR62"/>
  <c r="DR98"/>
  <c r="DR122"/>
  <c r="DI45"/>
  <c r="DK70"/>
  <c r="DK97"/>
  <c r="DK124"/>
  <c r="DL45"/>
  <c r="DN52"/>
  <c r="DN59"/>
  <c r="DN66"/>
  <c r="DL75"/>
  <c r="DL84"/>
  <c r="DL93"/>
  <c r="DL102"/>
  <c r="DL111"/>
  <c r="DL120"/>
  <c r="DN129"/>
  <c r="DR48"/>
  <c r="DR60"/>
  <c r="DR72"/>
  <c r="DR84"/>
  <c r="DR96"/>
  <c r="DR108"/>
  <c r="DR120"/>
  <c r="DR47"/>
  <c r="DR59"/>
  <c r="DR71"/>
  <c r="DR83"/>
  <c r="DR95"/>
  <c r="DR107"/>
  <c r="DR119"/>
  <c r="DR46"/>
  <c r="DR58"/>
  <c r="DR70"/>
  <c r="DR82"/>
  <c r="DR94"/>
  <c r="DR106"/>
  <c r="DR118"/>
  <c r="DR45"/>
  <c r="DR57"/>
  <c r="DR69"/>
  <c r="DR81"/>
  <c r="DR93"/>
  <c r="DR105"/>
  <c r="DR117"/>
  <c r="DR129"/>
  <c r="DK61"/>
  <c r="DK88"/>
  <c r="DR44"/>
  <c r="DR56"/>
  <c r="DR68"/>
  <c r="DR80"/>
  <c r="DR92"/>
  <c r="DR104"/>
  <c r="DR116"/>
  <c r="DR128"/>
  <c r="DK115"/>
  <c r="DR67"/>
  <c r="DR79"/>
  <c r="DR91"/>
  <c r="DR127"/>
  <c r="DK85"/>
  <c r="DR54"/>
  <c r="DR78"/>
  <c r="DR102"/>
  <c r="DR114"/>
  <c r="DI54"/>
  <c r="DR41"/>
  <c r="DN40"/>
  <c r="DN47"/>
  <c r="DN54"/>
  <c r="DL62"/>
  <c r="DL69"/>
  <c r="DL78"/>
  <c r="DL87"/>
  <c r="DL96"/>
  <c r="DL105"/>
  <c r="DL114"/>
  <c r="DL123"/>
  <c r="DR40"/>
  <c r="DR52"/>
  <c r="DR64"/>
  <c r="DR76"/>
  <c r="DR88"/>
  <c r="DR100"/>
  <c r="DR112"/>
  <c r="DR124"/>
  <c r="DN69"/>
  <c r="DR53"/>
  <c r="DN39"/>
  <c r="DL47"/>
  <c r="DL54"/>
  <c r="DN61"/>
  <c r="DN68"/>
  <c r="DN77"/>
  <c r="DN86"/>
  <c r="DN95"/>
  <c r="DN104"/>
  <c r="DN113"/>
  <c r="DN122"/>
  <c r="DR39"/>
  <c r="DR51"/>
  <c r="DR63"/>
  <c r="DR75"/>
  <c r="DR87"/>
  <c r="DR99"/>
  <c r="DR111"/>
  <c r="DR123"/>
  <c r="DR43"/>
  <c r="DR115"/>
  <c r="DK82"/>
  <c r="DI109"/>
  <c r="DR42"/>
  <c r="DR66"/>
  <c r="DR90"/>
  <c r="DR126"/>
  <c r="DN62"/>
  <c r="DN78"/>
  <c r="DN87"/>
  <c r="DN96"/>
  <c r="DN105"/>
  <c r="DN114"/>
  <c r="DN123"/>
  <c r="DR65"/>
  <c r="DR89"/>
  <c r="DR101"/>
  <c r="DR113"/>
  <c r="DR125"/>
  <c r="DK52"/>
  <c r="DK106"/>
  <c r="DK49"/>
  <c r="DK73"/>
  <c r="DK103"/>
  <c r="DK47"/>
  <c r="DI73"/>
  <c r="DI102"/>
  <c r="DK127"/>
  <c r="DL39"/>
  <c r="DN46"/>
  <c r="DN53"/>
  <c r="DN60"/>
  <c r="DL68"/>
  <c r="DN76"/>
  <c r="DN85"/>
  <c r="DN94"/>
  <c r="DN103"/>
  <c r="DN112"/>
  <c r="DN121"/>
  <c r="DR50"/>
  <c r="DR74"/>
  <c r="DR86"/>
  <c r="DR110"/>
  <c r="DK46"/>
  <c r="DI72"/>
  <c r="DK100"/>
  <c r="DI126"/>
  <c r="DN45"/>
  <c r="DL53"/>
  <c r="DL60"/>
  <c r="DN67"/>
  <c r="DN75"/>
  <c r="DN84"/>
  <c r="DN93"/>
  <c r="DN102"/>
  <c r="DN111"/>
  <c r="DR49"/>
  <c r="DR61"/>
  <c r="DR73"/>
  <c r="DR85"/>
  <c r="DR97"/>
  <c r="DR109"/>
  <c r="DJ93"/>
  <c r="DI43"/>
  <c r="DJ49"/>
  <c r="DI64"/>
  <c r="DJ78"/>
  <c r="DJ85"/>
  <c r="DI93"/>
  <c r="DI100"/>
  <c r="DJ114"/>
  <c r="DI129"/>
  <c r="DJ42"/>
  <c r="DI49"/>
  <c r="DJ63"/>
  <c r="DJ70"/>
  <c r="DI78"/>
  <c r="DI85"/>
  <c r="DJ99"/>
  <c r="DJ106"/>
  <c r="DI114"/>
  <c r="DI121"/>
  <c r="DP40"/>
  <c r="DP43"/>
  <c r="DP46"/>
  <c r="DP49"/>
  <c r="DP52"/>
  <c r="DP55"/>
  <c r="DP58"/>
  <c r="DP61"/>
  <c r="DP64"/>
  <c r="DP67"/>
  <c r="DP70"/>
  <c r="DP73"/>
  <c r="DP76"/>
  <c r="DP79"/>
  <c r="DP82"/>
  <c r="DP85"/>
  <c r="DP88"/>
  <c r="DP91"/>
  <c r="DP94"/>
  <c r="DP97"/>
  <c r="DP100"/>
  <c r="DP103"/>
  <c r="DP106"/>
  <c r="DP109"/>
  <c r="DP112"/>
  <c r="DP115"/>
  <c r="DP118"/>
  <c r="DP121"/>
  <c r="DP124"/>
  <c r="DP127"/>
  <c r="DI42"/>
  <c r="DJ48"/>
  <c r="DJ55"/>
  <c r="DI63"/>
  <c r="DI70"/>
  <c r="DK76"/>
  <c r="DJ84"/>
  <c r="DJ91"/>
  <c r="DI99"/>
  <c r="DI106"/>
  <c r="DK112"/>
  <c r="DJ120"/>
  <c r="DJ127"/>
  <c r="DM41"/>
  <c r="DM44"/>
  <c r="DM47"/>
  <c r="DM50"/>
  <c r="DM53"/>
  <c r="DM56"/>
  <c r="DM59"/>
  <c r="DM62"/>
  <c r="DM65"/>
  <c r="DM68"/>
  <c r="DM71"/>
  <c r="DM74"/>
  <c r="DM77"/>
  <c r="DM80"/>
  <c r="DM83"/>
  <c r="DM86"/>
  <c r="DM89"/>
  <c r="DM92"/>
  <c r="DM95"/>
  <c r="DM98"/>
  <c r="DM101"/>
  <c r="DM104"/>
  <c r="DM107"/>
  <c r="DM110"/>
  <c r="DM113"/>
  <c r="DM116"/>
  <c r="DM119"/>
  <c r="DM122"/>
  <c r="DM125"/>
  <c r="DM128"/>
  <c r="DS39"/>
  <c r="DS42"/>
  <c r="DS45"/>
  <c r="DS48"/>
  <c r="DS51"/>
  <c r="DS54"/>
  <c r="DS57"/>
  <c r="DS60"/>
  <c r="DS63"/>
  <c r="DS66"/>
  <c r="DS69"/>
  <c r="DS72"/>
  <c r="DS75"/>
  <c r="DS78"/>
  <c r="DS81"/>
  <c r="DS84"/>
  <c r="DS87"/>
  <c r="DS90"/>
  <c r="DS93"/>
  <c r="DS96"/>
  <c r="DS99"/>
  <c r="DS102"/>
  <c r="DS105"/>
  <c r="DS108"/>
  <c r="DS111"/>
  <c r="DS114"/>
  <c r="DS117"/>
  <c r="DS120"/>
  <c r="DS123"/>
  <c r="DS126"/>
  <c r="DS129"/>
  <c r="DJ43"/>
  <c r="DL74"/>
  <c r="DL80"/>
  <c r="DL86"/>
  <c r="DL92"/>
  <c r="DL98"/>
  <c r="DL107"/>
  <c r="DL119"/>
  <c r="DJ57"/>
  <c r="DJ100"/>
  <c r="DI48"/>
  <c r="DI55"/>
  <c r="DJ69"/>
  <c r="DJ76"/>
  <c r="DI84"/>
  <c r="DI91"/>
  <c r="DJ105"/>
  <c r="DJ112"/>
  <c r="DI120"/>
  <c r="DI127"/>
  <c r="DL71"/>
  <c r="DL77"/>
  <c r="DL83"/>
  <c r="DL89"/>
  <c r="DL95"/>
  <c r="DL101"/>
  <c r="DL104"/>
  <c r="DL110"/>
  <c r="DL113"/>
  <c r="DL116"/>
  <c r="DL122"/>
  <c r="DL125"/>
  <c r="DL128"/>
  <c r="DJ40"/>
  <c r="DJ54"/>
  <c r="DJ61"/>
  <c r="DI69"/>
  <c r="DI76"/>
  <c r="DJ90"/>
  <c r="DJ97"/>
  <c r="DI105"/>
  <c r="DI112"/>
  <c r="DJ126"/>
  <c r="DO40"/>
  <c r="DO43"/>
  <c r="DO46"/>
  <c r="DO49"/>
  <c r="DO52"/>
  <c r="DO55"/>
  <c r="DO58"/>
  <c r="DO61"/>
  <c r="DO64"/>
  <c r="DO67"/>
  <c r="DO70"/>
  <c r="DO73"/>
  <c r="DO76"/>
  <c r="DO79"/>
  <c r="DO82"/>
  <c r="DO85"/>
  <c r="DO88"/>
  <c r="DO91"/>
  <c r="DO94"/>
  <c r="DO97"/>
  <c r="DO100"/>
  <c r="DO103"/>
  <c r="DO106"/>
  <c r="DO109"/>
  <c r="DO112"/>
  <c r="DO115"/>
  <c r="DO118"/>
  <c r="DO121"/>
  <c r="DO124"/>
  <c r="DO127"/>
  <c r="DQ39"/>
  <c r="DQ42"/>
  <c r="DQ45"/>
  <c r="DQ48"/>
  <c r="DQ51"/>
  <c r="DQ54"/>
  <c r="DQ57"/>
  <c r="DQ60"/>
  <c r="DQ63"/>
  <c r="DQ66"/>
  <c r="DQ69"/>
  <c r="DQ72"/>
  <c r="DQ75"/>
  <c r="DQ78"/>
  <c r="DQ81"/>
  <c r="DQ84"/>
  <c r="DQ87"/>
  <c r="DQ90"/>
  <c r="DQ93"/>
  <c r="DQ96"/>
  <c r="DQ99"/>
  <c r="DQ102"/>
  <c r="DQ105"/>
  <c r="DQ108"/>
  <c r="DQ111"/>
  <c r="DQ114"/>
  <c r="DQ117"/>
  <c r="DQ120"/>
  <c r="DQ123"/>
  <c r="DQ126"/>
  <c r="DQ129"/>
  <c r="DP39"/>
  <c r="DP42"/>
  <c r="DP45"/>
  <c r="DP48"/>
  <c r="DP51"/>
  <c r="DP54"/>
  <c r="DP57"/>
  <c r="DP60"/>
  <c r="DP63"/>
  <c r="DP66"/>
  <c r="DP69"/>
  <c r="DP72"/>
  <c r="DP75"/>
  <c r="DP78"/>
  <c r="DP81"/>
  <c r="DP84"/>
  <c r="DP87"/>
  <c r="DP90"/>
  <c r="DP93"/>
  <c r="DP96"/>
  <c r="DP99"/>
  <c r="DP102"/>
  <c r="DP105"/>
  <c r="DP108"/>
  <c r="DP111"/>
  <c r="DP114"/>
  <c r="DP117"/>
  <c r="DP120"/>
  <c r="DP123"/>
  <c r="DP126"/>
  <c r="DP129"/>
  <c r="DJ75"/>
  <c r="DJ111"/>
  <c r="DJ60"/>
  <c r="DJ67"/>
  <c r="DI75"/>
  <c r="DI82"/>
  <c r="DJ96"/>
  <c r="DJ103"/>
  <c r="DI118"/>
  <c r="DM40"/>
  <c r="DM43"/>
  <c r="DM46"/>
  <c r="DM49"/>
  <c r="DM52"/>
  <c r="DM55"/>
  <c r="DM58"/>
  <c r="DM61"/>
  <c r="DM64"/>
  <c r="DM67"/>
  <c r="DM70"/>
  <c r="DM73"/>
  <c r="DM76"/>
  <c r="DM79"/>
  <c r="DM82"/>
  <c r="DM85"/>
  <c r="DM88"/>
  <c r="DM91"/>
  <c r="DM94"/>
  <c r="DM97"/>
  <c r="DM100"/>
  <c r="DM103"/>
  <c r="DM106"/>
  <c r="DM109"/>
  <c r="DM112"/>
  <c r="DM115"/>
  <c r="DM118"/>
  <c r="DM121"/>
  <c r="DM124"/>
  <c r="DM127"/>
  <c r="DS41"/>
  <c r="DS44"/>
  <c r="DS47"/>
  <c r="DS50"/>
  <c r="DS53"/>
  <c r="DS56"/>
  <c r="DS59"/>
  <c r="DS62"/>
  <c r="DS65"/>
  <c r="DS68"/>
  <c r="DS71"/>
  <c r="DS74"/>
  <c r="DS77"/>
  <c r="DS80"/>
  <c r="DS83"/>
  <c r="DS86"/>
  <c r="DS89"/>
  <c r="DS92"/>
  <c r="DS95"/>
  <c r="DS98"/>
  <c r="DS101"/>
  <c r="DS104"/>
  <c r="DS107"/>
  <c r="DS110"/>
  <c r="DS113"/>
  <c r="DS116"/>
  <c r="DS119"/>
  <c r="DS122"/>
  <c r="DS125"/>
  <c r="DS128"/>
  <c r="DJ64"/>
  <c r="DJ82"/>
  <c r="DJ118"/>
  <c r="DJ52"/>
  <c r="DJ81"/>
  <c r="DJ88"/>
  <c r="DI96"/>
  <c r="DI103"/>
  <c r="DJ117"/>
  <c r="DJ124"/>
  <c r="DL43"/>
  <c r="DL58"/>
  <c r="DL73"/>
  <c r="DL85"/>
  <c r="DL100"/>
  <c r="DL112"/>
  <c r="DL124"/>
  <c r="DJ39"/>
  <c r="DJ46"/>
  <c r="DI111"/>
  <c r="DI39"/>
  <c r="DI46"/>
  <c r="DI60"/>
  <c r="DI67"/>
  <c r="DL40"/>
  <c r="DL46"/>
  <c r="DL49"/>
  <c r="DL52"/>
  <c r="DL55"/>
  <c r="DL61"/>
  <c r="DL64"/>
  <c r="DL67"/>
  <c r="DL70"/>
  <c r="DL76"/>
  <c r="DL79"/>
  <c r="DL82"/>
  <c r="DL88"/>
  <c r="DL91"/>
  <c r="DL94"/>
  <c r="DL97"/>
  <c r="DL103"/>
  <c r="DL106"/>
  <c r="DL109"/>
  <c r="DL115"/>
  <c r="DL118"/>
  <c r="DL121"/>
  <c r="DL127"/>
  <c r="DJ45"/>
  <c r="DI52"/>
  <c r="DK58"/>
  <c r="DJ66"/>
  <c r="DJ73"/>
  <c r="DI81"/>
  <c r="DI88"/>
  <c r="DK94"/>
  <c r="DJ102"/>
  <c r="DJ109"/>
  <c r="DI117"/>
  <c r="DI124"/>
  <c r="DO39"/>
  <c r="DO42"/>
  <c r="DO45"/>
  <c r="DO48"/>
  <c r="DO51"/>
  <c r="DO54"/>
  <c r="DO57"/>
  <c r="DO60"/>
  <c r="DO63"/>
  <c r="DO66"/>
  <c r="DO69"/>
  <c r="DO72"/>
  <c r="DO75"/>
  <c r="DO78"/>
  <c r="DO81"/>
  <c r="DO84"/>
  <c r="DO87"/>
  <c r="DO90"/>
  <c r="DO93"/>
  <c r="DO96"/>
  <c r="DO99"/>
  <c r="DO102"/>
  <c r="DO105"/>
  <c r="DO108"/>
  <c r="DO111"/>
  <c r="DO114"/>
  <c r="DO117"/>
  <c r="DO120"/>
  <c r="DO123"/>
  <c r="DO126"/>
  <c r="DO129"/>
  <c r="DQ41"/>
  <c r="DQ44"/>
  <c r="DQ47"/>
  <c r="DQ50"/>
  <c r="DQ53"/>
  <c r="DQ56"/>
  <c r="DQ59"/>
  <c r="DQ62"/>
  <c r="DQ65"/>
  <c r="DQ68"/>
  <c r="DQ71"/>
  <c r="DQ74"/>
  <c r="DQ77"/>
  <c r="DQ80"/>
  <c r="DQ83"/>
  <c r="DQ86"/>
  <c r="DQ89"/>
  <c r="DQ92"/>
  <c r="DQ95"/>
  <c r="DQ98"/>
  <c r="DQ101"/>
  <c r="DQ104"/>
  <c r="DQ107"/>
  <c r="DQ110"/>
  <c r="DQ113"/>
  <c r="DQ116"/>
  <c r="DQ119"/>
  <c r="DQ122"/>
  <c r="DQ125"/>
  <c r="DQ128"/>
  <c r="DJ87"/>
  <c r="DJ94"/>
  <c r="DJ123"/>
  <c r="DP41"/>
  <c r="DP44"/>
  <c r="DP47"/>
  <c r="DP50"/>
  <c r="DP53"/>
  <c r="DP56"/>
  <c r="DP59"/>
  <c r="DP62"/>
  <c r="DP65"/>
  <c r="DP68"/>
  <c r="DP71"/>
  <c r="DP74"/>
  <c r="DP77"/>
  <c r="DP80"/>
  <c r="DP83"/>
  <c r="DP86"/>
  <c r="DP89"/>
  <c r="DP92"/>
  <c r="DP95"/>
  <c r="DP98"/>
  <c r="DP101"/>
  <c r="DP104"/>
  <c r="DP107"/>
  <c r="DP110"/>
  <c r="DP113"/>
  <c r="DP116"/>
  <c r="DP119"/>
  <c r="DP122"/>
  <c r="DP125"/>
  <c r="DJ51"/>
  <c r="DJ58"/>
  <c r="DI51"/>
  <c r="DI58"/>
  <c r="DJ72"/>
  <c r="DJ79"/>
  <c r="DI87"/>
  <c r="DI94"/>
  <c r="DJ108"/>
  <c r="DJ115"/>
  <c r="DI123"/>
  <c r="DM39"/>
  <c r="DM42"/>
  <c r="DM45"/>
  <c r="DM48"/>
  <c r="DM51"/>
  <c r="DM54"/>
  <c r="DM57"/>
  <c r="DM60"/>
  <c r="DM63"/>
  <c r="DM66"/>
  <c r="DM69"/>
  <c r="DM72"/>
  <c r="DM75"/>
  <c r="DM78"/>
  <c r="DM81"/>
  <c r="DM84"/>
  <c r="DM87"/>
  <c r="DM90"/>
  <c r="DM93"/>
  <c r="DM96"/>
  <c r="DM99"/>
  <c r="DM102"/>
  <c r="DM105"/>
  <c r="DM108"/>
  <c r="DM111"/>
  <c r="DM114"/>
  <c r="DM117"/>
  <c r="DM120"/>
  <c r="DM123"/>
  <c r="DM126"/>
  <c r="DS40"/>
  <c r="DS43"/>
  <c r="DS46"/>
  <c r="DS49"/>
  <c r="DS52"/>
  <c r="DS55"/>
  <c r="DS58"/>
  <c r="DS61"/>
  <c r="DS64"/>
  <c r="DS67"/>
  <c r="DS70"/>
  <c r="DS73"/>
  <c r="DS76"/>
  <c r="DS79"/>
  <c r="DS82"/>
  <c r="DS85"/>
  <c r="DS88"/>
  <c r="DS91"/>
  <c r="DS94"/>
  <c r="DS97"/>
  <c r="DS100"/>
  <c r="DS103"/>
  <c r="DS106"/>
  <c r="DS109"/>
  <c r="DS112"/>
  <c r="DS115"/>
  <c r="DS118"/>
  <c r="DS121"/>
  <c r="DS124"/>
  <c r="DJ129"/>
  <c r="DI57"/>
  <c r="DJ121"/>
  <c r="DO41"/>
  <c r="DO44"/>
  <c r="DO47"/>
  <c r="DO50"/>
  <c r="DO53"/>
  <c r="DO56"/>
  <c r="DO59"/>
  <c r="DO62"/>
  <c r="DO65"/>
  <c r="DO68"/>
  <c r="DO71"/>
  <c r="DO74"/>
  <c r="DO77"/>
  <c r="DO80"/>
  <c r="DO83"/>
  <c r="DO86"/>
  <c r="DO89"/>
  <c r="DO92"/>
  <c r="DO95"/>
  <c r="DO98"/>
  <c r="DO101"/>
  <c r="DO104"/>
  <c r="DO107"/>
  <c r="DO110"/>
  <c r="DO113"/>
  <c r="DO116"/>
  <c r="DO119"/>
  <c r="DO122"/>
  <c r="DO125"/>
  <c r="DQ40"/>
  <c r="DQ43"/>
  <c r="DQ46"/>
  <c r="DQ49"/>
  <c r="DQ52"/>
  <c r="DQ55"/>
  <c r="DQ58"/>
  <c r="DQ61"/>
  <c r="DQ64"/>
  <c r="DQ67"/>
  <c r="DQ70"/>
  <c r="DQ73"/>
  <c r="DQ76"/>
  <c r="DQ79"/>
  <c r="DQ82"/>
  <c r="DQ85"/>
  <c r="DQ88"/>
  <c r="DQ91"/>
  <c r="DQ94"/>
  <c r="DQ97"/>
  <c r="DQ100"/>
  <c r="DQ103"/>
  <c r="DQ106"/>
  <c r="DQ109"/>
  <c r="DQ112"/>
  <c r="DQ115"/>
  <c r="DQ118"/>
  <c r="DQ121"/>
  <c r="DQ124"/>
  <c r="DH40"/>
  <c r="DH43"/>
  <c r="DH46"/>
  <c r="DH49"/>
  <c r="DH52"/>
  <c r="DH55"/>
  <c r="DH58"/>
  <c r="DH61"/>
  <c r="DH64"/>
  <c r="DH67"/>
  <c r="DH70"/>
  <c r="DH73"/>
  <c r="DH76"/>
  <c r="DH79"/>
  <c r="DH82"/>
  <c r="DH85"/>
  <c r="DH88"/>
  <c r="DH91"/>
  <c r="DH94"/>
  <c r="DH97"/>
  <c r="DH100"/>
  <c r="DH103"/>
  <c r="DH106"/>
  <c r="DH109"/>
  <c r="DH112"/>
  <c r="DH115"/>
  <c r="DH118"/>
  <c r="DH121"/>
  <c r="DH124"/>
  <c r="DH127"/>
  <c r="DK39"/>
  <c r="DK42"/>
  <c r="DK45"/>
  <c r="DK48"/>
  <c r="DK51"/>
  <c r="DK54"/>
  <c r="DK57"/>
  <c r="DK60"/>
  <c r="DK63"/>
  <c r="DK66"/>
  <c r="DK69"/>
  <c r="DK72"/>
  <c r="DK75"/>
  <c r="DK78"/>
  <c r="DK81"/>
  <c r="DK84"/>
  <c r="DK87"/>
  <c r="DK90"/>
  <c r="DK93"/>
  <c r="DK96"/>
  <c r="DK99"/>
  <c r="DK102"/>
  <c r="DK105"/>
  <c r="DK108"/>
  <c r="DK111"/>
  <c r="DK114"/>
  <c r="DK117"/>
  <c r="DK120"/>
  <c r="DK123"/>
  <c r="DK126"/>
  <c r="DK129"/>
  <c r="DH129"/>
  <c r="DH114"/>
  <c r="DH48"/>
  <c r="DH66"/>
  <c r="DH120"/>
  <c r="DH39"/>
  <c r="DH42"/>
  <c r="DH45"/>
  <c r="DH51"/>
  <c r="DH54"/>
  <c r="DH57"/>
  <c r="DH60"/>
  <c r="DH63"/>
  <c r="DH69"/>
  <c r="DH72"/>
  <c r="DH75"/>
  <c r="DH78"/>
  <c r="DH81"/>
  <c r="DH84"/>
  <c r="DH87"/>
  <c r="DH90"/>
  <c r="DH93"/>
  <c r="DH96"/>
  <c r="DH99"/>
  <c r="DH102"/>
  <c r="DH105"/>
  <c r="DH108"/>
  <c r="DH111"/>
  <c r="DH117"/>
  <c r="DH123"/>
  <c r="DH126"/>
  <c r="DK41"/>
  <c r="DK44"/>
  <c r="DK50"/>
  <c r="DK53"/>
  <c r="DK56"/>
  <c r="DK59"/>
  <c r="DK62"/>
  <c r="DK65"/>
  <c r="DK68"/>
  <c r="DK71"/>
  <c r="DK74"/>
  <c r="DK77"/>
  <c r="DK80"/>
  <c r="DK83"/>
  <c r="DK86"/>
  <c r="DK89"/>
  <c r="DK92"/>
  <c r="DK95"/>
  <c r="DK98"/>
  <c r="DK101"/>
  <c r="DK104"/>
  <c r="DK107"/>
  <c r="DK110"/>
  <c r="DK113"/>
  <c r="DK116"/>
  <c r="DK119"/>
  <c r="DK122"/>
  <c r="DK125"/>
  <c r="DJ41"/>
  <c r="DJ44"/>
  <c r="DJ47"/>
  <c r="DJ50"/>
  <c r="DJ53"/>
  <c r="DJ56"/>
  <c r="DJ59"/>
  <c r="DJ62"/>
  <c r="DJ65"/>
  <c r="DJ68"/>
  <c r="DJ71"/>
  <c r="DJ74"/>
  <c r="DJ77"/>
  <c r="DJ80"/>
  <c r="DJ83"/>
  <c r="DJ86"/>
  <c r="DJ89"/>
  <c r="DJ92"/>
  <c r="DJ95"/>
  <c r="DJ98"/>
  <c r="DJ101"/>
  <c r="DJ104"/>
  <c r="DJ107"/>
  <c r="DJ110"/>
  <c r="DJ113"/>
  <c r="DJ116"/>
  <c r="DJ119"/>
  <c r="DJ122"/>
  <c r="DJ125"/>
  <c r="DI41"/>
  <c r="DI44"/>
  <c r="DI47"/>
  <c r="DI50"/>
  <c r="DI53"/>
  <c r="DI56"/>
  <c r="DI59"/>
  <c r="DI62"/>
  <c r="DI65"/>
  <c r="DI68"/>
  <c r="DI71"/>
  <c r="DI74"/>
  <c r="DI77"/>
  <c r="DI80"/>
  <c r="DI83"/>
  <c r="DI86"/>
  <c r="DI89"/>
  <c r="DI92"/>
  <c r="DI95"/>
  <c r="DI98"/>
  <c r="DI101"/>
  <c r="DI104"/>
  <c r="DI107"/>
  <c r="DI110"/>
  <c r="DI113"/>
  <c r="DI116"/>
  <c r="DI119"/>
  <c r="DI122"/>
  <c r="DI125"/>
  <c r="DH41"/>
  <c r="DH44"/>
  <c r="DH47"/>
  <c r="DH50"/>
  <c r="DH53"/>
  <c r="DH56"/>
  <c r="DH59"/>
  <c r="DH62"/>
  <c r="DH65"/>
  <c r="DH68"/>
  <c r="DH71"/>
  <c r="DH74"/>
  <c r="DH77"/>
  <c r="DH80"/>
  <c r="DH83"/>
  <c r="DH86"/>
  <c r="DH89"/>
  <c r="DH92"/>
  <c r="DH95"/>
  <c r="DH98"/>
  <c r="DH101"/>
  <c r="DH104"/>
  <c r="DH107"/>
  <c r="DH110"/>
  <c r="DH113"/>
  <c r="DH116"/>
  <c r="DH119"/>
  <c r="DH122"/>
  <c r="DH125"/>
  <c r="AD45" i="3" l="1"/>
  <c r="AD44"/>
  <c r="AC45"/>
  <c r="AB45"/>
  <c r="AA45"/>
  <c r="AC44"/>
  <c r="AB44"/>
  <c r="AA44"/>
  <c r="D71" i="2"/>
  <c r="D69"/>
  <c r="D70"/>
  <c r="I71"/>
  <c r="I72" s="1"/>
  <c r="I73" s="1"/>
  <c r="I74" s="1"/>
  <c r="I75" s="1"/>
  <c r="I76" s="1"/>
  <c r="I77" s="1"/>
  <c r="I78" s="1"/>
  <c r="I79" s="1"/>
  <c r="I80" s="1"/>
  <c r="I81" s="1"/>
  <c r="I82" s="1"/>
  <c r="I83" s="1"/>
  <c r="I84" s="1"/>
  <c r="I85" s="1"/>
  <c r="I86" s="1"/>
  <c r="I87" s="1"/>
  <c r="I88" s="1"/>
  <c r="I89" s="1"/>
  <c r="I90" s="1"/>
  <c r="I91" s="1"/>
  <c r="I92" s="1"/>
  <c r="I70"/>
  <c r="C15" i="3"/>
  <c r="Q191"/>
  <c r="P191"/>
  <c r="Q190"/>
  <c r="P190"/>
  <c r="Q189"/>
  <c r="P189"/>
  <c r="Q188"/>
  <c r="P188"/>
  <c r="Q187"/>
  <c r="P187"/>
  <c r="Q186"/>
  <c r="P186"/>
  <c r="Q185"/>
  <c r="P185"/>
  <c r="Q184"/>
  <c r="P184"/>
  <c r="Q183"/>
  <c r="P183"/>
  <c r="Q182"/>
  <c r="P182"/>
  <c r="Q181"/>
  <c r="P181"/>
  <c r="Q180"/>
  <c r="P180"/>
  <c r="Q179"/>
  <c r="P179"/>
  <c r="Q178"/>
  <c r="P178"/>
  <c r="Q177"/>
  <c r="P177"/>
  <c r="Q176"/>
  <c r="P176"/>
  <c r="Q175"/>
  <c r="P175"/>
  <c r="Q174"/>
  <c r="P174"/>
  <c r="Q173"/>
  <c r="P173"/>
  <c r="Q172"/>
  <c r="P172"/>
  <c r="Q171"/>
  <c r="P171"/>
  <c r="Q170"/>
  <c r="P170"/>
  <c r="Q169"/>
  <c r="P169"/>
  <c r="Q168"/>
  <c r="P168"/>
  <c r="Q167"/>
  <c r="P167"/>
  <c r="Q166"/>
  <c r="P166"/>
  <c r="Q165"/>
  <c r="P165"/>
  <c r="Q164"/>
  <c r="P164"/>
  <c r="Q163"/>
  <c r="P163"/>
  <c r="Q162"/>
  <c r="P162"/>
  <c r="Q161"/>
  <c r="P161"/>
  <c r="Q160"/>
  <c r="P160"/>
  <c r="Q159"/>
  <c r="P159"/>
  <c r="Q158"/>
  <c r="P158"/>
  <c r="Q157"/>
  <c r="P157"/>
  <c r="Q156"/>
  <c r="P156"/>
  <c r="Q155"/>
  <c r="P155"/>
  <c r="Q154"/>
  <c r="P154"/>
  <c r="Q153"/>
  <c r="P153"/>
  <c r="Q152"/>
  <c r="P152"/>
  <c r="Q151"/>
  <c r="P151"/>
  <c r="P150"/>
  <c r="O150"/>
  <c r="Q150" s="1"/>
  <c r="Q149"/>
  <c r="P149"/>
  <c r="Q148"/>
  <c r="P148"/>
  <c r="Q147"/>
  <c r="P147"/>
  <c r="Q146"/>
  <c r="P146"/>
  <c r="Q145"/>
  <c r="P145"/>
  <c r="Q144"/>
  <c r="P144"/>
  <c r="Q143"/>
  <c r="P143"/>
  <c r="Q142"/>
  <c r="P142"/>
  <c r="Q141"/>
  <c r="P141"/>
  <c r="Q140"/>
  <c r="P140"/>
  <c r="Q139"/>
  <c r="P139"/>
  <c r="Q138"/>
  <c r="P138"/>
  <c r="Q137"/>
  <c r="P137"/>
  <c r="Q136"/>
  <c r="P136"/>
  <c r="Q135"/>
  <c r="P135"/>
  <c r="Q134"/>
  <c r="P134"/>
  <c r="Q133"/>
  <c r="P133"/>
  <c r="Q132"/>
  <c r="P132"/>
  <c r="Q131"/>
  <c r="P131"/>
  <c r="Q130"/>
  <c r="P130"/>
  <c r="Q129"/>
  <c r="P129"/>
  <c r="Q128"/>
  <c r="P128"/>
  <c r="Q127"/>
  <c r="P127"/>
  <c r="Q126"/>
  <c r="P126"/>
  <c r="Q125"/>
  <c r="P125"/>
  <c r="Q124"/>
  <c r="P124"/>
  <c r="Q123"/>
  <c r="P123"/>
  <c r="Q122"/>
  <c r="P122"/>
  <c r="Q121"/>
  <c r="P121"/>
  <c r="Q120"/>
  <c r="P120"/>
  <c r="Q119"/>
  <c r="P119"/>
  <c r="Q118"/>
  <c r="P118"/>
  <c r="Q117"/>
  <c r="P117"/>
  <c r="Q116"/>
  <c r="P116"/>
  <c r="Q115"/>
  <c r="P115"/>
  <c r="Q114"/>
  <c r="P114"/>
  <c r="Q113"/>
  <c r="P113"/>
  <c r="Q112"/>
  <c r="P112"/>
  <c r="Q111"/>
  <c r="P111"/>
  <c r="Q110"/>
  <c r="P110"/>
  <c r="Q109"/>
  <c r="P109"/>
  <c r="Q108"/>
  <c r="P108"/>
  <c r="Q107"/>
  <c r="P107"/>
  <c r="Q106"/>
  <c r="P106"/>
  <c r="Q105"/>
  <c r="P105"/>
  <c r="Q104"/>
  <c r="P104"/>
  <c r="Q103"/>
  <c r="P103"/>
  <c r="Q102"/>
  <c r="P102"/>
  <c r="Q101"/>
  <c r="P101"/>
  <c r="Q100"/>
  <c r="P100"/>
  <c r="Q99"/>
  <c r="P99"/>
  <c r="Q98"/>
  <c r="P98"/>
  <c r="Q97"/>
  <c r="P97"/>
  <c r="Q96"/>
  <c r="P96"/>
  <c r="Q95"/>
  <c r="P95"/>
  <c r="Q94"/>
  <c r="P94"/>
  <c r="Q93"/>
  <c r="P93"/>
  <c r="Q92"/>
  <c r="P92"/>
  <c r="Q91"/>
  <c r="P91"/>
  <c r="Q90"/>
  <c r="P90"/>
  <c r="Q89"/>
  <c r="P89"/>
  <c r="Q88"/>
  <c r="P88"/>
  <c r="Q87"/>
  <c r="P87"/>
  <c r="Q86"/>
  <c r="P86"/>
  <c r="Q85"/>
  <c r="P85"/>
  <c r="Q84"/>
  <c r="P84"/>
  <c r="Q83"/>
  <c r="P83"/>
  <c r="Q82"/>
  <c r="P82"/>
  <c r="Q81"/>
  <c r="P81"/>
  <c r="Q80"/>
  <c r="P80"/>
  <c r="Q79"/>
  <c r="P79"/>
  <c r="Q78"/>
  <c r="P78"/>
  <c r="Q77"/>
  <c r="P77"/>
  <c r="Q76"/>
  <c r="P76"/>
  <c r="Q75"/>
  <c r="P75"/>
  <c r="Q74"/>
  <c r="P74"/>
  <c r="Q73"/>
  <c r="P73"/>
  <c r="Q72"/>
  <c r="P72"/>
  <c r="Q71"/>
  <c r="P71"/>
  <c r="Q70"/>
  <c r="P70"/>
  <c r="Q69"/>
  <c r="P69"/>
  <c r="Q68"/>
  <c r="P68"/>
  <c r="Q67"/>
  <c r="P67"/>
  <c r="Q66"/>
  <c r="P66"/>
  <c r="Q65"/>
  <c r="P65"/>
  <c r="Q64"/>
  <c r="P64"/>
  <c r="Q63"/>
  <c r="P63"/>
  <c r="Q62"/>
  <c r="P62"/>
  <c r="Q61"/>
  <c r="P61"/>
  <c r="Q60"/>
  <c r="P60"/>
  <c r="Q59"/>
  <c r="P59"/>
  <c r="Q58"/>
  <c r="P58"/>
  <c r="Q57"/>
  <c r="P57"/>
  <c r="Q56"/>
  <c r="P56"/>
  <c r="Q55"/>
  <c r="P55"/>
  <c r="Q54"/>
  <c r="P54"/>
  <c r="Q53"/>
  <c r="P53"/>
  <c r="Q52"/>
  <c r="P52"/>
  <c r="Q51"/>
  <c r="P51"/>
  <c r="Q50"/>
  <c r="P50"/>
  <c r="Q49"/>
  <c r="P49"/>
  <c r="Q48"/>
  <c r="P48"/>
  <c r="Q47"/>
  <c r="P47"/>
  <c r="Q46"/>
  <c r="P46"/>
  <c r="Q45"/>
  <c r="P45"/>
  <c r="Q44"/>
  <c r="P44"/>
  <c r="Q43"/>
  <c r="P43"/>
  <c r="Q42"/>
  <c r="P42"/>
  <c r="Q41"/>
  <c r="P41"/>
  <c r="Q40"/>
  <c r="P40"/>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C9"/>
  <c r="Q8"/>
  <c r="P8"/>
  <c r="C8"/>
  <c r="Q7"/>
  <c r="P7"/>
  <c r="Q6"/>
  <c r="P6"/>
  <c r="Q5"/>
  <c r="P5"/>
  <c r="Q4"/>
  <c r="P4"/>
  <c r="R83" l="1"/>
  <c r="S83" s="1"/>
  <c r="T83" s="1"/>
  <c r="R100"/>
  <c r="S100" s="1"/>
  <c r="T100" s="1"/>
  <c r="R86"/>
  <c r="S86" s="1"/>
  <c r="T86" s="1"/>
  <c r="R96"/>
  <c r="S96" s="1"/>
  <c r="T96" s="1"/>
  <c r="R104"/>
  <c r="S104" s="1"/>
  <c r="T104" s="1"/>
  <c r="R128"/>
  <c r="S128" s="1"/>
  <c r="T128" s="1"/>
  <c r="R134"/>
  <c r="S134" s="1"/>
  <c r="T134" s="1"/>
  <c r="R176"/>
  <c r="S176" s="1"/>
  <c r="T176" s="1"/>
  <c r="R182"/>
  <c r="S182" s="1"/>
  <c r="T182" s="1"/>
  <c r="R188"/>
  <c r="S188" s="1"/>
  <c r="T188" s="1"/>
  <c r="R113"/>
  <c r="S113" s="1"/>
  <c r="T113" s="1"/>
  <c r="R143"/>
  <c r="S143" s="1"/>
  <c r="T143" s="1"/>
  <c r="R149"/>
  <c r="S149" s="1"/>
  <c r="T149" s="1"/>
  <c r="R155"/>
  <c r="S155" s="1"/>
  <c r="T155" s="1"/>
  <c r="R185"/>
  <c r="S185" s="1"/>
  <c r="T185" s="1"/>
  <c r="R106"/>
  <c r="S106" s="1"/>
  <c r="T106" s="1"/>
  <c r="R124"/>
  <c r="S124" s="1"/>
  <c r="T124" s="1"/>
  <c r="R130"/>
  <c r="S130" s="1"/>
  <c r="T130" s="1"/>
  <c r="R154"/>
  <c r="S154" s="1"/>
  <c r="T154" s="1"/>
  <c r="R160"/>
  <c r="S160" s="1"/>
  <c r="T160" s="1"/>
  <c r="R99"/>
  <c r="S99" s="1"/>
  <c r="T99" s="1"/>
  <c r="R121"/>
  <c r="S121" s="1"/>
  <c r="T121" s="1"/>
  <c r="R127"/>
  <c r="S127" s="1"/>
  <c r="T127" s="1"/>
  <c r="R133"/>
  <c r="S133" s="1"/>
  <c r="T133" s="1"/>
  <c r="R187"/>
  <c r="S187" s="1"/>
  <c r="T187" s="1"/>
  <c r="R102"/>
  <c r="S102" s="1"/>
  <c r="T102" s="1"/>
  <c r="R18"/>
  <c r="S18" s="1"/>
  <c r="T18" s="1"/>
  <c r="R30"/>
  <c r="S30" s="1"/>
  <c r="T30" s="1"/>
  <c r="R66"/>
  <c r="S66" s="1"/>
  <c r="T66" s="1"/>
  <c r="R78"/>
  <c r="S78" s="1"/>
  <c r="T78" s="1"/>
  <c r="R11"/>
  <c r="S11" s="1"/>
  <c r="T11" s="1"/>
  <c r="R23"/>
  <c r="S23" s="1"/>
  <c r="T23" s="1"/>
  <c r="R35"/>
  <c r="S35" s="1"/>
  <c r="T35" s="1"/>
  <c r="R47"/>
  <c r="S47" s="1"/>
  <c r="T47" s="1"/>
  <c r="R28"/>
  <c r="S28" s="1"/>
  <c r="T28" s="1"/>
  <c r="R76"/>
  <c r="S76" s="1"/>
  <c r="T76" s="1"/>
  <c r="R117"/>
  <c r="S117" s="1"/>
  <c r="T117" s="1"/>
  <c r="R21"/>
  <c r="S21" s="1"/>
  <c r="T21" s="1"/>
  <c r="R45"/>
  <c r="S45" s="1"/>
  <c r="T45" s="1"/>
  <c r="R57"/>
  <c r="S57" s="1"/>
  <c r="T57" s="1"/>
  <c r="R20"/>
  <c r="S20" s="1"/>
  <c r="T20" s="1"/>
  <c r="R68"/>
  <c r="S68" s="1"/>
  <c r="T68" s="1"/>
  <c r="R13"/>
  <c r="S13" s="1"/>
  <c r="T13" s="1"/>
  <c r="R37"/>
  <c r="S37" s="1"/>
  <c r="T37" s="1"/>
  <c r="R85"/>
  <c r="S85" s="1"/>
  <c r="T85" s="1"/>
  <c r="R138"/>
  <c r="S138" s="1"/>
  <c r="T138" s="1"/>
  <c r="R162"/>
  <c r="S162" s="1"/>
  <c r="T162" s="1"/>
  <c r="R186"/>
  <c r="S186" s="1"/>
  <c r="T186" s="1"/>
  <c r="R14"/>
  <c r="S14" s="1"/>
  <c r="T14" s="1"/>
  <c r="R74"/>
  <c r="S74" s="1"/>
  <c r="T74" s="1"/>
  <c r="R150"/>
  <c r="S150" s="1"/>
  <c r="T150" s="1"/>
  <c r="R25"/>
  <c r="S25" s="1"/>
  <c r="T25" s="1"/>
  <c r="R31"/>
  <c r="S31" s="1"/>
  <c r="T31" s="1"/>
  <c r="R73"/>
  <c r="S73" s="1"/>
  <c r="T73" s="1"/>
  <c r="R79"/>
  <c r="S79" s="1"/>
  <c r="T79" s="1"/>
  <c r="R90"/>
  <c r="S90" s="1"/>
  <c r="T90" s="1"/>
  <c r="R107"/>
  <c r="S107" s="1"/>
  <c r="T107" s="1"/>
  <c r="R119"/>
  <c r="S119" s="1"/>
  <c r="T119" s="1"/>
  <c r="R42"/>
  <c r="S42" s="1"/>
  <c r="T42" s="1"/>
  <c r="R48"/>
  <c r="S48" s="1"/>
  <c r="T48" s="1"/>
  <c r="R54"/>
  <c r="S54" s="1"/>
  <c r="T54" s="1"/>
  <c r="R95"/>
  <c r="S95" s="1"/>
  <c r="T95" s="1"/>
  <c r="R112"/>
  <c r="S112" s="1"/>
  <c r="T112" s="1"/>
  <c r="R172"/>
  <c r="S172" s="1"/>
  <c r="T172" s="1"/>
  <c r="R184"/>
  <c r="S184" s="1"/>
  <c r="T184" s="1"/>
  <c r="R53"/>
  <c r="S53" s="1"/>
  <c r="T53" s="1"/>
  <c r="R65"/>
  <c r="S65" s="1"/>
  <c r="T65" s="1"/>
  <c r="R41"/>
  <c r="S41" s="1"/>
  <c r="T41" s="1"/>
  <c r="R29"/>
  <c r="S29" s="1"/>
  <c r="T29" s="1"/>
  <c r="R59"/>
  <c r="S59" s="1"/>
  <c r="T59" s="1"/>
  <c r="R123"/>
  <c r="S123" s="1"/>
  <c r="T123" s="1"/>
  <c r="R135"/>
  <c r="S135" s="1"/>
  <c r="T135" s="1"/>
  <c r="R183"/>
  <c r="S183" s="1"/>
  <c r="T183" s="1"/>
  <c r="R10"/>
  <c r="S10" s="1"/>
  <c r="T10" s="1"/>
  <c r="R52"/>
  <c r="S52" s="1"/>
  <c r="T52" s="1"/>
  <c r="R58"/>
  <c r="S58" s="1"/>
  <c r="T58" s="1"/>
  <c r="R93"/>
  <c r="S93" s="1"/>
  <c r="T93" s="1"/>
  <c r="R140"/>
  <c r="S140" s="1"/>
  <c r="T140" s="1"/>
  <c r="R170"/>
  <c r="S170" s="1"/>
  <c r="T170" s="1"/>
  <c r="R9"/>
  <c r="S9" s="1"/>
  <c r="T9" s="1"/>
  <c r="R15"/>
  <c r="S15" s="1"/>
  <c r="T15" s="1"/>
  <c r="R27"/>
  <c r="S27" s="1"/>
  <c r="T27" s="1"/>
  <c r="R69"/>
  <c r="S69" s="1"/>
  <c r="T69" s="1"/>
  <c r="R75"/>
  <c r="S75" s="1"/>
  <c r="T75" s="1"/>
  <c r="R92"/>
  <c r="S92" s="1"/>
  <c r="T92" s="1"/>
  <c r="R109"/>
  <c r="S109" s="1"/>
  <c r="T109" s="1"/>
  <c r="R80"/>
  <c r="S80" s="1"/>
  <c r="T80" s="1"/>
  <c r="R26"/>
  <c r="S26" s="1"/>
  <c r="T26" s="1"/>
  <c r="R114"/>
  <c r="S114" s="1"/>
  <c r="T114" s="1"/>
  <c r="R144"/>
  <c r="S144" s="1"/>
  <c r="T144" s="1"/>
  <c r="R156"/>
  <c r="S156" s="1"/>
  <c r="T156" s="1"/>
  <c r="R168"/>
  <c r="S168" s="1"/>
  <c r="T168" s="1"/>
  <c r="R180"/>
  <c r="S180" s="1"/>
  <c r="T180" s="1"/>
  <c r="R17"/>
  <c r="S17" s="1"/>
  <c r="T17" s="1"/>
  <c r="R38"/>
  <c r="S38" s="1"/>
  <c r="T38" s="1"/>
  <c r="R44"/>
  <c r="S44" s="1"/>
  <c r="T44" s="1"/>
  <c r="R49"/>
  <c r="S49" s="1"/>
  <c r="T49" s="1"/>
  <c r="R55"/>
  <c r="S55" s="1"/>
  <c r="T55" s="1"/>
  <c r="R61"/>
  <c r="S61" s="1"/>
  <c r="T61" s="1"/>
  <c r="R89"/>
  <c r="S89" s="1"/>
  <c r="T89" s="1"/>
  <c r="R110"/>
  <c r="S110" s="1"/>
  <c r="T110" s="1"/>
  <c r="R116"/>
  <c r="S116" s="1"/>
  <c r="T116" s="1"/>
  <c r="R145"/>
  <c r="S145" s="1"/>
  <c r="T145" s="1"/>
  <c r="R151"/>
  <c r="S151" s="1"/>
  <c r="T151" s="1"/>
  <c r="R163"/>
  <c r="S163" s="1"/>
  <c r="T163" s="1"/>
  <c r="R71"/>
  <c r="S71" s="1"/>
  <c r="T71" s="1"/>
  <c r="R98"/>
  <c r="S98" s="1"/>
  <c r="T98" s="1"/>
  <c r="R103"/>
  <c r="S103" s="1"/>
  <c r="T103" s="1"/>
  <c r="R120"/>
  <c r="S120" s="1"/>
  <c r="T120" s="1"/>
  <c r="R126"/>
  <c r="S126" s="1"/>
  <c r="T126" s="1"/>
  <c r="R179"/>
  <c r="S179" s="1"/>
  <c r="T179" s="1"/>
  <c r="R190"/>
  <c r="S190" s="1"/>
  <c r="T190" s="1"/>
  <c r="R125"/>
  <c r="S125" s="1"/>
  <c r="T125" s="1"/>
  <c r="R131"/>
  <c r="S131" s="1"/>
  <c r="T131" s="1"/>
  <c r="R178"/>
  <c r="S178" s="1"/>
  <c r="T178" s="1"/>
  <c r="R166"/>
  <c r="S166" s="1"/>
  <c r="T166" s="1"/>
  <c r="R24"/>
  <c r="S24" s="1"/>
  <c r="T24" s="1"/>
  <c r="R51"/>
  <c r="S51" s="1"/>
  <c r="T51" s="1"/>
  <c r="R63"/>
  <c r="S63" s="1"/>
  <c r="T63" s="1"/>
  <c r="R101"/>
  <c r="S101" s="1"/>
  <c r="T101" s="1"/>
  <c r="R141"/>
  <c r="S141" s="1"/>
  <c r="T141" s="1"/>
  <c r="R7"/>
  <c r="S7" s="1"/>
  <c r="T7" s="1"/>
  <c r="R34"/>
  <c r="S34" s="1"/>
  <c r="T34" s="1"/>
  <c r="R39"/>
  <c r="S39" s="1"/>
  <c r="T39" s="1"/>
  <c r="R50"/>
  <c r="S50" s="1"/>
  <c r="T50" s="1"/>
  <c r="R56"/>
  <c r="S56" s="1"/>
  <c r="T56" s="1"/>
  <c r="R111"/>
  <c r="S111" s="1"/>
  <c r="T111" s="1"/>
  <c r="R146"/>
  <c r="S146" s="1"/>
  <c r="T146" s="1"/>
  <c r="R152"/>
  <c r="S152" s="1"/>
  <c r="T152" s="1"/>
  <c r="R158"/>
  <c r="S158" s="1"/>
  <c r="T158" s="1"/>
  <c r="R132"/>
  <c r="S132" s="1"/>
  <c r="T132" s="1"/>
  <c r="R32"/>
  <c r="S32" s="1"/>
  <c r="T32" s="1"/>
  <c r="R62"/>
  <c r="S62" s="1"/>
  <c r="T62" s="1"/>
  <c r="R77"/>
  <c r="S77" s="1"/>
  <c r="T77" s="1"/>
  <c r="R97"/>
  <c r="S97" s="1"/>
  <c r="T97" s="1"/>
  <c r="R122"/>
  <c r="S122" s="1"/>
  <c r="T122" s="1"/>
  <c r="R12"/>
  <c r="S12" s="1"/>
  <c r="T12" s="1"/>
  <c r="R22"/>
  <c r="S22" s="1"/>
  <c r="T22" s="1"/>
  <c r="R67"/>
  <c r="S67" s="1"/>
  <c r="T67" s="1"/>
  <c r="R81"/>
  <c r="S81" s="1"/>
  <c r="T81" s="1"/>
  <c r="R136"/>
  <c r="S136" s="1"/>
  <c r="T136" s="1"/>
  <c r="R174"/>
  <c r="S174" s="1"/>
  <c r="T174" s="1"/>
  <c r="R16"/>
  <c r="S16" s="1"/>
  <c r="T16" s="1"/>
  <c r="R36"/>
  <c r="S36" s="1"/>
  <c r="T36" s="1"/>
  <c r="R46"/>
  <c r="S46" s="1"/>
  <c r="T46" s="1"/>
  <c r="R91"/>
  <c r="S91" s="1"/>
  <c r="T91" s="1"/>
  <c r="R105"/>
  <c r="S105" s="1"/>
  <c r="T105" s="1"/>
  <c r="R40"/>
  <c r="S40" s="1"/>
  <c r="T40" s="1"/>
  <c r="R60"/>
  <c r="S60" s="1"/>
  <c r="T60" s="1"/>
  <c r="R70"/>
  <c r="S70" s="1"/>
  <c r="T70" s="1"/>
  <c r="R115"/>
  <c r="S115" s="1"/>
  <c r="T115" s="1"/>
  <c r="R129"/>
  <c r="S129" s="1"/>
  <c r="T129" s="1"/>
  <c r="R64"/>
  <c r="S64" s="1"/>
  <c r="T64" s="1"/>
  <c r="R84"/>
  <c r="S84" s="1"/>
  <c r="T84" s="1"/>
  <c r="R94"/>
  <c r="S94" s="1"/>
  <c r="T94" s="1"/>
  <c r="R139"/>
  <c r="S139" s="1"/>
  <c r="T139" s="1"/>
  <c r="R161"/>
  <c r="S161" s="1"/>
  <c r="T161" s="1"/>
  <c r="R19"/>
  <c r="S19" s="1"/>
  <c r="T19" s="1"/>
  <c r="R33"/>
  <c r="S33" s="1"/>
  <c r="T33" s="1"/>
  <c r="R88"/>
  <c r="S88" s="1"/>
  <c r="T88" s="1"/>
  <c r="R108"/>
  <c r="S108" s="1"/>
  <c r="T108" s="1"/>
  <c r="R118"/>
  <c r="S118" s="1"/>
  <c r="T118" s="1"/>
  <c r="R148"/>
  <c r="S148" s="1"/>
  <c r="T148" s="1"/>
  <c r="R171"/>
  <c r="S171" s="1"/>
  <c r="T171" s="1"/>
  <c r="R43"/>
  <c r="S43" s="1"/>
  <c r="T43" s="1"/>
  <c r="R142"/>
  <c r="S142" s="1"/>
  <c r="T142" s="1"/>
  <c r="R72"/>
  <c r="S72" s="1"/>
  <c r="T72" s="1"/>
  <c r="R82"/>
  <c r="S82" s="1"/>
  <c r="T82" s="1"/>
  <c r="R87"/>
  <c r="S87" s="1"/>
  <c r="T87" s="1"/>
  <c r="R137"/>
  <c r="S137" s="1"/>
  <c r="T137" s="1"/>
  <c r="R147"/>
  <c r="S147" s="1"/>
  <c r="T147" s="1"/>
  <c r="R159"/>
  <c r="S159" s="1"/>
  <c r="T159" s="1"/>
  <c r="R164"/>
  <c r="S164" s="1"/>
  <c r="T164" s="1"/>
  <c r="R153"/>
  <c r="S153" s="1"/>
  <c r="T153" s="1"/>
  <c r="R8"/>
  <c r="S8" s="1"/>
  <c r="T8" s="1"/>
  <c r="R167"/>
  <c r="S167" s="1"/>
  <c r="T167" s="1"/>
  <c r="R157"/>
  <c r="S157" s="1"/>
  <c r="T157" s="1"/>
  <c r="R181"/>
  <c r="S181" s="1"/>
  <c r="T181" s="1"/>
  <c r="R191"/>
  <c r="S191" s="1"/>
  <c r="T191" s="1"/>
  <c r="R175"/>
  <c r="S175" s="1"/>
  <c r="T175" s="1"/>
  <c r="R6"/>
  <c r="S6" s="1"/>
  <c r="T6" s="1"/>
  <c r="R165"/>
  <c r="S165" s="1"/>
  <c r="T165" s="1"/>
  <c r="R189"/>
  <c r="S189" s="1"/>
  <c r="T189" s="1"/>
  <c r="R5"/>
  <c r="S5" s="1"/>
  <c r="T5" s="1"/>
  <c r="R169"/>
  <c r="S169" s="1"/>
  <c r="T169" s="1"/>
  <c r="R4"/>
  <c r="S4" s="1"/>
  <c r="T4" s="1"/>
  <c r="R173"/>
  <c r="S173" s="1"/>
  <c r="T173" s="1"/>
  <c r="R177"/>
  <c r="S177" s="1"/>
  <c r="T177" s="1"/>
  <c r="K7" l="1"/>
  <c r="L124" s="1"/>
  <c r="L41" l="1"/>
  <c r="L131"/>
  <c r="L100"/>
  <c r="L90"/>
  <c r="L152"/>
  <c r="L145"/>
  <c r="L133"/>
  <c r="L104"/>
  <c r="L182"/>
  <c r="L79"/>
  <c r="L51"/>
  <c r="L99"/>
  <c r="L166"/>
  <c r="L93"/>
  <c r="L24"/>
  <c r="L25"/>
  <c r="L139"/>
  <c r="L54"/>
  <c r="L69"/>
  <c r="L19"/>
  <c r="L129"/>
  <c r="L164"/>
  <c r="L88"/>
  <c r="L165"/>
  <c r="L153"/>
  <c r="L112"/>
  <c r="L23"/>
  <c r="L74"/>
  <c r="L26"/>
  <c r="L86"/>
  <c r="L82"/>
  <c r="L91"/>
  <c r="L171"/>
  <c r="L64"/>
  <c r="L160"/>
  <c r="L81"/>
  <c r="L146"/>
  <c r="L89"/>
  <c r="L141"/>
  <c r="L78"/>
  <c r="L119"/>
  <c r="L85"/>
  <c r="L66"/>
  <c r="L83"/>
  <c r="L137"/>
  <c r="L45"/>
  <c r="L92"/>
  <c r="L87"/>
  <c r="L15"/>
  <c r="L29"/>
  <c r="L114"/>
  <c r="L18"/>
  <c r="L125"/>
  <c r="L53"/>
  <c r="L108"/>
  <c r="L118"/>
  <c r="L32"/>
  <c r="L60"/>
  <c r="L132"/>
  <c r="L102"/>
  <c r="L55"/>
  <c r="L50"/>
  <c r="L113"/>
  <c r="L5"/>
  <c r="L33"/>
  <c r="L116"/>
  <c r="L76"/>
  <c r="L96"/>
  <c r="L9"/>
  <c r="L136"/>
  <c r="L31"/>
  <c r="L6"/>
  <c r="L103"/>
  <c r="L110"/>
  <c r="L142"/>
  <c r="L190"/>
  <c r="L14"/>
  <c r="L56"/>
  <c r="L148"/>
  <c r="L157"/>
  <c r="L75"/>
  <c r="L72"/>
  <c r="L170"/>
  <c r="L140"/>
  <c r="L174"/>
  <c r="L109"/>
  <c r="L17"/>
  <c r="L28"/>
  <c r="L111"/>
  <c r="L43"/>
  <c r="L167"/>
  <c r="L77"/>
  <c r="L8"/>
  <c r="L162"/>
  <c r="L138"/>
  <c r="L98"/>
  <c r="L20"/>
  <c r="L58"/>
  <c r="L71"/>
  <c r="L181"/>
  <c r="L120"/>
  <c r="L173"/>
  <c r="L122"/>
  <c r="L180"/>
  <c r="L37"/>
  <c r="L95"/>
  <c r="L117"/>
  <c r="L135"/>
  <c r="L67"/>
  <c r="L44"/>
  <c r="L172"/>
  <c r="L155"/>
  <c r="L188"/>
  <c r="L186"/>
  <c r="L126"/>
  <c r="L34"/>
  <c r="L134"/>
  <c r="L159"/>
  <c r="L16"/>
  <c r="L106"/>
  <c r="L80"/>
  <c r="L147"/>
  <c r="L49"/>
  <c r="L169"/>
  <c r="L61"/>
  <c r="L62"/>
  <c r="L97"/>
  <c r="L57"/>
  <c r="L191"/>
  <c r="L107"/>
  <c r="L35"/>
  <c r="L178"/>
  <c r="L68"/>
  <c r="L10"/>
  <c r="L179"/>
  <c r="L65"/>
  <c r="L52"/>
  <c r="L22"/>
  <c r="L130"/>
  <c r="L121"/>
  <c r="L101"/>
  <c r="L161"/>
  <c r="L163"/>
  <c r="L144"/>
  <c r="L39"/>
  <c r="L46"/>
  <c r="L184"/>
  <c r="L149"/>
  <c r="L30"/>
  <c r="L185"/>
  <c r="L73"/>
  <c r="L70"/>
  <c r="L175"/>
  <c r="L128"/>
  <c r="L143"/>
  <c r="L176"/>
  <c r="L4"/>
  <c r="L177"/>
  <c r="L183"/>
  <c r="L115"/>
  <c r="L47"/>
  <c r="L84"/>
  <c r="L105"/>
  <c r="L27"/>
  <c r="L94"/>
  <c r="L189"/>
  <c r="L40"/>
  <c r="L12"/>
  <c r="L13"/>
  <c r="L48"/>
  <c r="L63"/>
  <c r="L187"/>
  <c r="L123"/>
  <c r="L127"/>
  <c r="L168"/>
  <c r="L150"/>
  <c r="L154"/>
  <c r="L7"/>
  <c r="L21"/>
  <c r="L156"/>
  <c r="L42"/>
  <c r="L59"/>
  <c r="L158"/>
  <c r="L151"/>
  <c r="L38"/>
  <c r="L36"/>
  <c r="L11"/>
  <c r="K8" l="1"/>
  <c r="CO185" i="2" l="1"/>
  <c r="Q37" l="1"/>
  <c r="Q60" s="1"/>
  <c r="M118" s="1"/>
  <c r="P37"/>
  <c r="P59" s="1"/>
  <c r="AD59" s="1"/>
  <c r="O37"/>
  <c r="O43" s="1"/>
  <c r="L101" s="1"/>
  <c r="N37"/>
  <c r="N59" s="1"/>
  <c r="AA59" s="1"/>
  <c r="M37"/>
  <c r="M57" s="1"/>
  <c r="K115" s="1"/>
  <c r="L37"/>
  <c r="L58" s="1"/>
  <c r="X58" s="1"/>
  <c r="K37"/>
  <c r="K59" s="1"/>
  <c r="J117" s="1"/>
  <c r="J37"/>
  <c r="J59" s="1"/>
  <c r="U59" s="1"/>
  <c r="I6"/>
  <c r="I7" s="1"/>
  <c r="I8" s="1"/>
  <c r="I9" s="1"/>
  <c r="I10" s="1"/>
  <c r="I11" s="1"/>
  <c r="I12" s="1"/>
  <c r="I13" s="1"/>
  <c r="I14" s="1"/>
  <c r="I15" s="1"/>
  <c r="I16" s="1"/>
  <c r="I17" s="1"/>
  <c r="I18" s="1"/>
  <c r="I19" s="1"/>
  <c r="I20" s="1"/>
  <c r="I21" s="1"/>
  <c r="I22" s="1"/>
  <c r="I23" s="1"/>
  <c r="I24" s="1"/>
  <c r="I25" s="1"/>
  <c r="I26" s="1"/>
  <c r="I27" s="1"/>
  <c r="I28" s="1"/>
  <c r="BZ132"/>
  <c r="BZ133" s="1"/>
  <c r="BZ134" s="1"/>
  <c r="BZ135" s="1"/>
  <c r="BZ136" s="1"/>
  <c r="BZ137" s="1"/>
  <c r="BZ138" s="1"/>
  <c r="BZ139" s="1"/>
  <c r="BZ140" s="1"/>
  <c r="BZ141" s="1"/>
  <c r="BZ142" s="1"/>
  <c r="BZ143" s="1"/>
  <c r="BZ144" s="1"/>
  <c r="BZ145" s="1"/>
  <c r="BZ146" s="1"/>
  <c r="BZ147" s="1"/>
  <c r="BZ148" s="1"/>
  <c r="BZ149" s="1"/>
  <c r="BZ150" s="1"/>
  <c r="BZ151" s="1"/>
  <c r="BZ152" s="1"/>
  <c r="BZ153" s="1"/>
  <c r="BZ131"/>
  <c r="BZ108"/>
  <c r="BZ109" s="1"/>
  <c r="BZ110" s="1"/>
  <c r="BZ111" s="1"/>
  <c r="BZ112" s="1"/>
  <c r="BZ113" s="1"/>
  <c r="BZ114" s="1"/>
  <c r="BZ115" s="1"/>
  <c r="BZ116" s="1"/>
  <c r="BZ117" s="1"/>
  <c r="BZ118" s="1"/>
  <c r="BZ119" s="1"/>
  <c r="BZ120" s="1"/>
  <c r="BZ121" s="1"/>
  <c r="BZ122" s="1"/>
  <c r="BZ123" s="1"/>
  <c r="BZ107"/>
  <c r="BZ106"/>
  <c r="BZ105"/>
  <c r="BZ104"/>
  <c r="BZ103"/>
  <c r="BZ102"/>
  <c r="BZ101"/>
  <c r="BZ72"/>
  <c r="BZ73" s="1"/>
  <c r="BZ74" s="1"/>
  <c r="BZ75" s="1"/>
  <c r="BZ76" s="1"/>
  <c r="BZ77" s="1"/>
  <c r="BZ78" s="1"/>
  <c r="BZ79" s="1"/>
  <c r="BZ80" s="1"/>
  <c r="BZ81" s="1"/>
  <c r="BZ82" s="1"/>
  <c r="BZ83" s="1"/>
  <c r="BZ84" s="1"/>
  <c r="BZ85" s="1"/>
  <c r="BZ86" s="1"/>
  <c r="BZ87" s="1"/>
  <c r="BZ88" s="1"/>
  <c r="BZ89" s="1"/>
  <c r="BZ90" s="1"/>
  <c r="BZ91" s="1"/>
  <c r="BZ92" s="1"/>
  <c r="BZ93" s="1"/>
  <c r="BZ71"/>
  <c r="BZ43"/>
  <c r="BZ44" s="1"/>
  <c r="BZ45" s="1"/>
  <c r="BZ46" s="1"/>
  <c r="BZ47" s="1"/>
  <c r="BZ48" s="1"/>
  <c r="BZ49" s="1"/>
  <c r="BZ50" s="1"/>
  <c r="BZ51" s="1"/>
  <c r="BZ52" s="1"/>
  <c r="BZ53" s="1"/>
  <c r="BZ54" s="1"/>
  <c r="BZ55" s="1"/>
  <c r="BZ56" s="1"/>
  <c r="BZ57" s="1"/>
  <c r="BZ58" s="1"/>
  <c r="BZ59" s="1"/>
  <c r="BZ60" s="1"/>
  <c r="BZ61" s="1"/>
  <c r="BZ62" s="1"/>
  <c r="BZ63" s="1"/>
  <c r="BZ42"/>
  <c r="BZ41"/>
  <c r="BO134"/>
  <c r="BO135" s="1"/>
  <c r="BO136" s="1"/>
  <c r="BO137" s="1"/>
  <c r="BO138" s="1"/>
  <c r="BO139" s="1"/>
  <c r="BO140" s="1"/>
  <c r="BO141" s="1"/>
  <c r="BO142" s="1"/>
  <c r="BO143" s="1"/>
  <c r="BO144" s="1"/>
  <c r="BO145" s="1"/>
  <c r="BO146" s="1"/>
  <c r="BO147" s="1"/>
  <c r="BO148" s="1"/>
  <c r="BO149" s="1"/>
  <c r="BO150" s="1"/>
  <c r="BO151" s="1"/>
  <c r="BO152" s="1"/>
  <c r="BO153" s="1"/>
  <c r="BO133"/>
  <c r="BO132"/>
  <c r="BO131"/>
  <c r="BO101"/>
  <c r="BO102" s="1"/>
  <c r="BO103" s="1"/>
  <c r="BO104" s="1"/>
  <c r="BO105" s="1"/>
  <c r="BO106" s="1"/>
  <c r="BO107" s="1"/>
  <c r="BO108" s="1"/>
  <c r="BO109" s="1"/>
  <c r="BO110" s="1"/>
  <c r="BO111" s="1"/>
  <c r="BO112" s="1"/>
  <c r="BO113" s="1"/>
  <c r="BO114" s="1"/>
  <c r="BO115" s="1"/>
  <c r="BO116" s="1"/>
  <c r="BO117" s="1"/>
  <c r="BO118" s="1"/>
  <c r="BO119" s="1"/>
  <c r="BO120" s="1"/>
  <c r="BO121" s="1"/>
  <c r="BO122" s="1"/>
  <c r="BO123" s="1"/>
  <c r="BO72"/>
  <c r="BO73" s="1"/>
  <c r="BO74" s="1"/>
  <c r="BO75" s="1"/>
  <c r="BO76" s="1"/>
  <c r="BO77" s="1"/>
  <c r="BO78" s="1"/>
  <c r="BO79" s="1"/>
  <c r="BO80" s="1"/>
  <c r="BO81" s="1"/>
  <c r="BO82" s="1"/>
  <c r="BO83" s="1"/>
  <c r="BO84" s="1"/>
  <c r="BO85" s="1"/>
  <c r="BO86" s="1"/>
  <c r="BO87" s="1"/>
  <c r="BO88" s="1"/>
  <c r="BO89" s="1"/>
  <c r="BO90" s="1"/>
  <c r="BO91" s="1"/>
  <c r="BO92" s="1"/>
  <c r="BO93" s="1"/>
  <c r="BO71"/>
  <c r="BO41"/>
  <c r="BO42" s="1"/>
  <c r="BO43" s="1"/>
  <c r="BO44" s="1"/>
  <c r="BO45" s="1"/>
  <c r="BO46" s="1"/>
  <c r="BO47" s="1"/>
  <c r="BO48" s="1"/>
  <c r="BO49" s="1"/>
  <c r="BO50" s="1"/>
  <c r="BO51" s="1"/>
  <c r="BO52" s="1"/>
  <c r="BO53" s="1"/>
  <c r="BO54" s="1"/>
  <c r="BO55" s="1"/>
  <c r="BO56" s="1"/>
  <c r="BO57" s="1"/>
  <c r="BO58" s="1"/>
  <c r="BO59" s="1"/>
  <c r="BO60" s="1"/>
  <c r="BO61" s="1"/>
  <c r="BO62" s="1"/>
  <c r="BO63" s="1"/>
  <c r="BB131"/>
  <c r="BB132" s="1"/>
  <c r="BB133" s="1"/>
  <c r="BB134" s="1"/>
  <c r="BB135" s="1"/>
  <c r="BB136" s="1"/>
  <c r="BB137" s="1"/>
  <c r="BB138" s="1"/>
  <c r="BB139" s="1"/>
  <c r="BB140" s="1"/>
  <c r="BB141" s="1"/>
  <c r="BB142" s="1"/>
  <c r="BB143" s="1"/>
  <c r="BB144" s="1"/>
  <c r="BB145" s="1"/>
  <c r="BB146" s="1"/>
  <c r="BB147" s="1"/>
  <c r="BB148" s="1"/>
  <c r="BB149" s="1"/>
  <c r="BB150" s="1"/>
  <c r="BB151" s="1"/>
  <c r="BB152" s="1"/>
  <c r="BB153" s="1"/>
  <c r="BB101"/>
  <c r="BB102" s="1"/>
  <c r="BB103" s="1"/>
  <c r="BB104" s="1"/>
  <c r="BB105" s="1"/>
  <c r="BB106" s="1"/>
  <c r="BB107" s="1"/>
  <c r="BB108" s="1"/>
  <c r="BB109" s="1"/>
  <c r="BB110" s="1"/>
  <c r="BB111" s="1"/>
  <c r="BB112" s="1"/>
  <c r="BB113" s="1"/>
  <c r="BB114" s="1"/>
  <c r="BB115" s="1"/>
  <c r="BB116" s="1"/>
  <c r="BB117" s="1"/>
  <c r="BB118" s="1"/>
  <c r="BB119" s="1"/>
  <c r="BB120" s="1"/>
  <c r="BB121" s="1"/>
  <c r="BB122" s="1"/>
  <c r="BB123" s="1"/>
  <c r="BB71"/>
  <c r="BB72" s="1"/>
  <c r="BB73" s="1"/>
  <c r="BB74" s="1"/>
  <c r="BB75" s="1"/>
  <c r="BB76" s="1"/>
  <c r="BB77" s="1"/>
  <c r="BB78" s="1"/>
  <c r="BB79" s="1"/>
  <c r="BB80" s="1"/>
  <c r="BB81" s="1"/>
  <c r="BB82" s="1"/>
  <c r="BB83" s="1"/>
  <c r="BB84" s="1"/>
  <c r="BB85" s="1"/>
  <c r="BB86" s="1"/>
  <c r="BB87" s="1"/>
  <c r="BB88" s="1"/>
  <c r="BB89" s="1"/>
  <c r="BB90" s="1"/>
  <c r="BB91" s="1"/>
  <c r="BB92" s="1"/>
  <c r="BB93" s="1"/>
  <c r="BB44"/>
  <c r="BB45" s="1"/>
  <c r="BB46" s="1"/>
  <c r="BB47" s="1"/>
  <c r="BB48" s="1"/>
  <c r="BB49" s="1"/>
  <c r="BB50" s="1"/>
  <c r="BB51" s="1"/>
  <c r="BB52" s="1"/>
  <c r="BB53" s="1"/>
  <c r="BB54" s="1"/>
  <c r="BB55" s="1"/>
  <c r="BB56" s="1"/>
  <c r="BB57" s="1"/>
  <c r="BB58" s="1"/>
  <c r="BB59" s="1"/>
  <c r="BB60" s="1"/>
  <c r="BB61" s="1"/>
  <c r="BB62" s="1"/>
  <c r="BB63" s="1"/>
  <c r="BB43"/>
  <c r="BB42"/>
  <c r="BB41"/>
  <c r="AO131"/>
  <c r="AO132" s="1"/>
  <c r="AO133" s="1"/>
  <c r="AO134" s="1"/>
  <c r="AO135" s="1"/>
  <c r="AO136" s="1"/>
  <c r="AO137" s="1"/>
  <c r="AO138" s="1"/>
  <c r="AO139" s="1"/>
  <c r="AO140" s="1"/>
  <c r="AO141" s="1"/>
  <c r="AO142" s="1"/>
  <c r="AO143" s="1"/>
  <c r="AO144" s="1"/>
  <c r="AO145" s="1"/>
  <c r="AO146" s="1"/>
  <c r="AO147" s="1"/>
  <c r="AO148" s="1"/>
  <c r="AO149" s="1"/>
  <c r="AO150" s="1"/>
  <c r="AO151" s="1"/>
  <c r="AO152" s="1"/>
  <c r="AO153" s="1"/>
  <c r="AO101"/>
  <c r="AO102" s="1"/>
  <c r="AO103" s="1"/>
  <c r="AO104" s="1"/>
  <c r="AO105" s="1"/>
  <c r="AO106" s="1"/>
  <c r="AO107" s="1"/>
  <c r="AO108" s="1"/>
  <c r="AO109" s="1"/>
  <c r="AO110" s="1"/>
  <c r="AO111" s="1"/>
  <c r="AO112" s="1"/>
  <c r="AO113" s="1"/>
  <c r="AO114" s="1"/>
  <c r="AO115" s="1"/>
  <c r="AO116" s="1"/>
  <c r="AO117" s="1"/>
  <c r="AO118" s="1"/>
  <c r="AO119" s="1"/>
  <c r="AO120" s="1"/>
  <c r="AO121" s="1"/>
  <c r="AO122" s="1"/>
  <c r="AO123" s="1"/>
  <c r="AO71"/>
  <c r="AO72" s="1"/>
  <c r="AO73" s="1"/>
  <c r="AO74" s="1"/>
  <c r="AO75" s="1"/>
  <c r="AO76" s="1"/>
  <c r="AO77" s="1"/>
  <c r="AO78" s="1"/>
  <c r="AO79" s="1"/>
  <c r="AO80" s="1"/>
  <c r="AO81" s="1"/>
  <c r="AO82" s="1"/>
  <c r="AO83" s="1"/>
  <c r="AO84" s="1"/>
  <c r="AO85" s="1"/>
  <c r="AO86" s="1"/>
  <c r="AO87" s="1"/>
  <c r="AO88" s="1"/>
  <c r="AO89" s="1"/>
  <c r="AO90" s="1"/>
  <c r="AO91" s="1"/>
  <c r="AO92" s="1"/>
  <c r="AO93" s="1"/>
  <c r="AO41"/>
  <c r="AO42" s="1"/>
  <c r="AO43" s="1"/>
  <c r="AO44" s="1"/>
  <c r="AO45" s="1"/>
  <c r="AO46" s="1"/>
  <c r="AO47" s="1"/>
  <c r="AO48" s="1"/>
  <c r="AO49" s="1"/>
  <c r="AO50" s="1"/>
  <c r="AO51" s="1"/>
  <c r="AO52" s="1"/>
  <c r="AO53" s="1"/>
  <c r="AO54" s="1"/>
  <c r="AO55" s="1"/>
  <c r="AO56" s="1"/>
  <c r="AO57" s="1"/>
  <c r="AO58" s="1"/>
  <c r="AO59" s="1"/>
  <c r="AO60" s="1"/>
  <c r="AO61" s="1"/>
  <c r="AO62" s="1"/>
  <c r="AO63" s="1"/>
  <c r="I41"/>
  <c r="I42" s="1"/>
  <c r="I43" s="1"/>
  <c r="I44" s="1"/>
  <c r="I45" s="1"/>
  <c r="I46" s="1"/>
  <c r="I47" s="1"/>
  <c r="I48" s="1"/>
  <c r="I49" s="1"/>
  <c r="I50" s="1"/>
  <c r="I51" s="1"/>
  <c r="I52" s="1"/>
  <c r="I53" s="1"/>
  <c r="I54" s="1"/>
  <c r="I55" s="1"/>
  <c r="I56" s="1"/>
  <c r="I57" s="1"/>
  <c r="I58" s="1"/>
  <c r="I59" s="1"/>
  <c r="I60" s="1"/>
  <c r="I61" s="1"/>
  <c r="I62" s="1"/>
  <c r="I63" s="1"/>
  <c r="M146" l="1"/>
  <c r="M174"/>
  <c r="Y174" s="1"/>
  <c r="L129"/>
  <c r="L157"/>
  <c r="X157" s="1"/>
  <c r="K143"/>
  <c r="K171"/>
  <c r="W171" s="1"/>
  <c r="J145"/>
  <c r="J173"/>
  <c r="V173" s="1"/>
  <c r="AC60"/>
  <c r="Y118"/>
  <c r="Y43"/>
  <c r="X101"/>
  <c r="W57"/>
  <c r="W115"/>
  <c r="S59"/>
  <c r="V117"/>
  <c r="AB60"/>
  <c r="V57"/>
  <c r="T59"/>
  <c r="Z43"/>
  <c r="Q59"/>
  <c r="M117" s="1"/>
  <c r="Q41"/>
  <c r="M99" s="1"/>
  <c r="Q40"/>
  <c r="M98" s="1"/>
  <c r="Q61"/>
  <c r="M119" s="1"/>
  <c r="Q58"/>
  <c r="M116" s="1"/>
  <c r="Q52"/>
  <c r="M110" s="1"/>
  <c r="Q50"/>
  <c r="M108" s="1"/>
  <c r="Q49"/>
  <c r="M107" s="1"/>
  <c r="Q43"/>
  <c r="M101" s="1"/>
  <c r="Q47"/>
  <c r="M105" s="1"/>
  <c r="Q46"/>
  <c r="M104" s="1"/>
  <c r="Q44"/>
  <c r="M102" s="1"/>
  <c r="Q62"/>
  <c r="M120" s="1"/>
  <c r="Q56"/>
  <c r="M114" s="1"/>
  <c r="Q55"/>
  <c r="M113" s="1"/>
  <c r="Q53"/>
  <c r="M111" s="1"/>
  <c r="P48"/>
  <c r="AD48" s="1"/>
  <c r="P60"/>
  <c r="AD60" s="1"/>
  <c r="P41"/>
  <c r="P47"/>
  <c r="AD47" s="1"/>
  <c r="P53"/>
  <c r="AD53" s="1"/>
  <c r="P40"/>
  <c r="P46"/>
  <c r="AD46" s="1"/>
  <c r="P52"/>
  <c r="AD52" s="1"/>
  <c r="P58"/>
  <c r="AD58" s="1"/>
  <c r="Q45"/>
  <c r="M103" s="1"/>
  <c r="Q51"/>
  <c r="M109" s="1"/>
  <c r="Q57"/>
  <c r="M115" s="1"/>
  <c r="Q63"/>
  <c r="M121" s="1"/>
  <c r="P63"/>
  <c r="AD63" s="1"/>
  <c r="P51"/>
  <c r="AD51" s="1"/>
  <c r="P62"/>
  <c r="AD62" s="1"/>
  <c r="P45"/>
  <c r="AD45" s="1"/>
  <c r="P57"/>
  <c r="AD57" s="1"/>
  <c r="P44"/>
  <c r="P50"/>
  <c r="AD50" s="1"/>
  <c r="P56"/>
  <c r="AD56" s="1"/>
  <c r="P43"/>
  <c r="P49"/>
  <c r="AD49" s="1"/>
  <c r="P55"/>
  <c r="AD55" s="1"/>
  <c r="P61"/>
  <c r="AD61" s="1"/>
  <c r="Q42"/>
  <c r="M100" s="1"/>
  <c r="Q48"/>
  <c r="M106" s="1"/>
  <c r="Q54"/>
  <c r="M112" s="1"/>
  <c r="P42"/>
  <c r="P54"/>
  <c r="AD54" s="1"/>
  <c r="O58"/>
  <c r="L116" s="1"/>
  <c r="O55"/>
  <c r="L113" s="1"/>
  <c r="N55"/>
  <c r="AA55" s="1"/>
  <c r="N54"/>
  <c r="AA54" s="1"/>
  <c r="N52"/>
  <c r="AA52" s="1"/>
  <c r="N50"/>
  <c r="AA50" s="1"/>
  <c r="N48"/>
  <c r="AA48" s="1"/>
  <c r="N47"/>
  <c r="AA47" s="1"/>
  <c r="N56"/>
  <c r="AA56" s="1"/>
  <c r="N46"/>
  <c r="AA46" s="1"/>
  <c r="N43"/>
  <c r="AA43" s="1"/>
  <c r="N62"/>
  <c r="AA62" s="1"/>
  <c r="N40"/>
  <c r="N60"/>
  <c r="AA60" s="1"/>
  <c r="N63"/>
  <c r="AA63" s="1"/>
  <c r="O47"/>
  <c r="L105" s="1"/>
  <c r="O62"/>
  <c r="L120" s="1"/>
  <c r="O54"/>
  <c r="L112" s="1"/>
  <c r="O61"/>
  <c r="L119" s="1"/>
  <c r="O44"/>
  <c r="L102" s="1"/>
  <c r="O53"/>
  <c r="L111" s="1"/>
  <c r="N61"/>
  <c r="AA61" s="1"/>
  <c r="N44"/>
  <c r="AA44" s="1"/>
  <c r="N53"/>
  <c r="AA53" s="1"/>
  <c r="O60"/>
  <c r="L118" s="1"/>
  <c r="O50"/>
  <c r="L108" s="1"/>
  <c r="O59"/>
  <c r="L117" s="1"/>
  <c r="O42"/>
  <c r="L100" s="1"/>
  <c r="N42"/>
  <c r="AA42" s="1"/>
  <c r="O49"/>
  <c r="L107" s="1"/>
  <c r="N58"/>
  <c r="AA58" s="1"/>
  <c r="O41"/>
  <c r="L99" s="1"/>
  <c r="N49"/>
  <c r="AA49" s="1"/>
  <c r="O56"/>
  <c r="L114" s="1"/>
  <c r="N41"/>
  <c r="AA41" s="1"/>
  <c r="O48"/>
  <c r="L106" s="1"/>
  <c r="O45"/>
  <c r="L103" s="1"/>
  <c r="O51"/>
  <c r="L109" s="1"/>
  <c r="O57"/>
  <c r="L115" s="1"/>
  <c r="O63"/>
  <c r="L121" s="1"/>
  <c r="N45"/>
  <c r="AA45" s="1"/>
  <c r="N51"/>
  <c r="AA51" s="1"/>
  <c r="N57"/>
  <c r="AA57" s="1"/>
  <c r="O40"/>
  <c r="L98" s="1"/>
  <c r="O46"/>
  <c r="L104" s="1"/>
  <c r="O52"/>
  <c r="L110" s="1"/>
  <c r="M60"/>
  <c r="K118" s="1"/>
  <c r="M54"/>
  <c r="K112" s="1"/>
  <c r="M47"/>
  <c r="K105" s="1"/>
  <c r="M46"/>
  <c r="K104" s="1"/>
  <c r="M40"/>
  <c r="K98" s="1"/>
  <c r="K40"/>
  <c r="J98" s="1"/>
  <c r="J52"/>
  <c r="U52" s="1"/>
  <c r="J40"/>
  <c r="U40" s="1"/>
  <c r="M61"/>
  <c r="K119" s="1"/>
  <c r="J58"/>
  <c r="U58" s="1"/>
  <c r="J46"/>
  <c r="U46" s="1"/>
  <c r="M52"/>
  <c r="K110" s="1"/>
  <c r="K58"/>
  <c r="J116" s="1"/>
  <c r="M50"/>
  <c r="K108" s="1"/>
  <c r="K52"/>
  <c r="J110" s="1"/>
  <c r="M49"/>
  <c r="K107" s="1"/>
  <c r="K46"/>
  <c r="J104" s="1"/>
  <c r="M48"/>
  <c r="K106" s="1"/>
  <c r="M62"/>
  <c r="K120" s="1"/>
  <c r="M44"/>
  <c r="K102" s="1"/>
  <c r="M59"/>
  <c r="K117" s="1"/>
  <c r="M43"/>
  <c r="K101" s="1"/>
  <c r="M58"/>
  <c r="K116" s="1"/>
  <c r="M42"/>
  <c r="K100" s="1"/>
  <c r="M56"/>
  <c r="K114" s="1"/>
  <c r="M41"/>
  <c r="K99" s="1"/>
  <c r="M55"/>
  <c r="K113" s="1"/>
  <c r="M53"/>
  <c r="K111" s="1"/>
  <c r="L45"/>
  <c r="X45" s="1"/>
  <c r="L57"/>
  <c r="X57" s="1"/>
  <c r="J45"/>
  <c r="U45" s="1"/>
  <c r="J57"/>
  <c r="U57" s="1"/>
  <c r="K45"/>
  <c r="J103" s="1"/>
  <c r="K57"/>
  <c r="J115" s="1"/>
  <c r="L44"/>
  <c r="X44" s="1"/>
  <c r="L56"/>
  <c r="X56" s="1"/>
  <c r="J44"/>
  <c r="U44" s="1"/>
  <c r="J56"/>
  <c r="U56" s="1"/>
  <c r="K44"/>
  <c r="J102" s="1"/>
  <c r="K56"/>
  <c r="J114" s="1"/>
  <c r="L43"/>
  <c r="X43" s="1"/>
  <c r="L55"/>
  <c r="X55" s="1"/>
  <c r="J43"/>
  <c r="U43" s="1"/>
  <c r="J55"/>
  <c r="U55" s="1"/>
  <c r="K43"/>
  <c r="J101" s="1"/>
  <c r="K55"/>
  <c r="J113" s="1"/>
  <c r="L42"/>
  <c r="X42" s="1"/>
  <c r="L54"/>
  <c r="X54" s="1"/>
  <c r="J42"/>
  <c r="U42" s="1"/>
  <c r="J54"/>
  <c r="U54" s="1"/>
  <c r="K42"/>
  <c r="J100" s="1"/>
  <c r="K54"/>
  <c r="J112" s="1"/>
  <c r="L41"/>
  <c r="X41" s="1"/>
  <c r="L53"/>
  <c r="X53" s="1"/>
  <c r="J41"/>
  <c r="U41" s="1"/>
  <c r="J53"/>
  <c r="U53" s="1"/>
  <c r="K41"/>
  <c r="J99" s="1"/>
  <c r="K53"/>
  <c r="J111" s="1"/>
  <c r="L40"/>
  <c r="L52"/>
  <c r="X52" s="1"/>
  <c r="M51"/>
  <c r="K109" s="1"/>
  <c r="M63"/>
  <c r="K121" s="1"/>
  <c r="L51"/>
  <c r="X51" s="1"/>
  <c r="L63"/>
  <c r="X63" s="1"/>
  <c r="J51"/>
  <c r="U51" s="1"/>
  <c r="J63"/>
  <c r="U63" s="1"/>
  <c r="K51"/>
  <c r="J109" s="1"/>
  <c r="K63"/>
  <c r="J121" s="1"/>
  <c r="L50"/>
  <c r="X50" s="1"/>
  <c r="L62"/>
  <c r="X62" s="1"/>
  <c r="J50"/>
  <c r="U50" s="1"/>
  <c r="J62"/>
  <c r="U62" s="1"/>
  <c r="K50"/>
  <c r="J108" s="1"/>
  <c r="K62"/>
  <c r="J120" s="1"/>
  <c r="L49"/>
  <c r="X49" s="1"/>
  <c r="L61"/>
  <c r="X61" s="1"/>
  <c r="J49"/>
  <c r="U49" s="1"/>
  <c r="J61"/>
  <c r="U61" s="1"/>
  <c r="K49"/>
  <c r="J107" s="1"/>
  <c r="K61"/>
  <c r="J119" s="1"/>
  <c r="L48"/>
  <c r="X48" s="1"/>
  <c r="L60"/>
  <c r="X60" s="1"/>
  <c r="J48"/>
  <c r="U48" s="1"/>
  <c r="J60"/>
  <c r="U60" s="1"/>
  <c r="K48"/>
  <c r="J106" s="1"/>
  <c r="K60"/>
  <c r="J118" s="1"/>
  <c r="L47"/>
  <c r="X47" s="1"/>
  <c r="L59"/>
  <c r="X59" s="1"/>
  <c r="J47"/>
  <c r="U47" s="1"/>
  <c r="K47"/>
  <c r="J105" s="1"/>
  <c r="L46"/>
  <c r="X46" s="1"/>
  <c r="M45"/>
  <c r="K103" s="1"/>
  <c r="S174" l="1"/>
  <c r="R157"/>
  <c r="Q171"/>
  <c r="P173"/>
  <c r="Y146"/>
  <c r="S202" s="1"/>
  <c r="S146"/>
  <c r="X129"/>
  <c r="R185" s="1"/>
  <c r="R129"/>
  <c r="W143"/>
  <c r="Q199" s="1"/>
  <c r="Q143"/>
  <c r="V145"/>
  <c r="P201" s="1"/>
  <c r="P145"/>
  <c r="AD41"/>
  <c r="AD42"/>
  <c r="AD44"/>
  <c r="AD43"/>
  <c r="L174"/>
  <c r="X174" s="1"/>
  <c r="L165"/>
  <c r="X165" s="1"/>
  <c r="L171"/>
  <c r="X171" s="1"/>
  <c r="L177"/>
  <c r="X177" s="1"/>
  <c r="L156"/>
  <c r="X156" s="1"/>
  <c r="L161"/>
  <c r="X161" s="1"/>
  <c r="L176"/>
  <c r="X176" s="1"/>
  <c r="L163"/>
  <c r="X163" s="1"/>
  <c r="L168"/>
  <c r="X168" s="1"/>
  <c r="L175"/>
  <c r="X175" s="1"/>
  <c r="L155"/>
  <c r="X155" s="1"/>
  <c r="L160"/>
  <c r="X160" s="1"/>
  <c r="L167"/>
  <c r="X167" s="1"/>
  <c r="L158"/>
  <c r="X158" s="1"/>
  <c r="L166"/>
  <c r="X166" s="1"/>
  <c r="L170"/>
  <c r="X170" s="1"/>
  <c r="L162"/>
  <c r="X162" s="1"/>
  <c r="L172"/>
  <c r="X172" s="1"/>
  <c r="L159"/>
  <c r="X159" s="1"/>
  <c r="L169"/>
  <c r="X169" s="1"/>
  <c r="L164"/>
  <c r="X164" s="1"/>
  <c r="L173"/>
  <c r="X173" s="1"/>
  <c r="L154"/>
  <c r="X154" s="1"/>
  <c r="K176"/>
  <c r="W176" s="1"/>
  <c r="K159"/>
  <c r="W159" s="1"/>
  <c r="K158"/>
  <c r="W158" s="1"/>
  <c r="K173"/>
  <c r="W173" s="1"/>
  <c r="K175"/>
  <c r="W175" s="1"/>
  <c r="K157"/>
  <c r="W157" s="1"/>
  <c r="K156"/>
  <c r="W156" s="1"/>
  <c r="K166"/>
  <c r="W166" s="1"/>
  <c r="K172"/>
  <c r="W172" s="1"/>
  <c r="K165"/>
  <c r="W165" s="1"/>
  <c r="K170"/>
  <c r="W170" s="1"/>
  <c r="K174"/>
  <c r="W174" s="1"/>
  <c r="K177"/>
  <c r="W177" s="1"/>
  <c r="K155"/>
  <c r="W155" s="1"/>
  <c r="K164"/>
  <c r="W164" s="1"/>
  <c r="K168"/>
  <c r="W168" s="1"/>
  <c r="K169"/>
  <c r="W169" s="1"/>
  <c r="K161"/>
  <c r="W161" s="1"/>
  <c r="K167"/>
  <c r="W167" s="1"/>
  <c r="K163"/>
  <c r="W163" s="1"/>
  <c r="K160"/>
  <c r="W160" s="1"/>
  <c r="K162"/>
  <c r="W162" s="1"/>
  <c r="K154"/>
  <c r="W154" s="1"/>
  <c r="J160"/>
  <c r="V160" s="1"/>
  <c r="J163"/>
  <c r="V163" s="1"/>
  <c r="J165"/>
  <c r="V165" s="1"/>
  <c r="J175"/>
  <c r="V175" s="1"/>
  <c r="J177"/>
  <c r="V177" s="1"/>
  <c r="J155"/>
  <c r="V155" s="1"/>
  <c r="J157"/>
  <c r="V157" s="1"/>
  <c r="J159"/>
  <c r="V159" s="1"/>
  <c r="J171"/>
  <c r="V171" s="1"/>
  <c r="J167"/>
  <c r="V167" s="1"/>
  <c r="J172"/>
  <c r="V172" s="1"/>
  <c r="J164"/>
  <c r="V164" s="1"/>
  <c r="J174"/>
  <c r="V174" s="1"/>
  <c r="J176"/>
  <c r="V176" s="1"/>
  <c r="J156"/>
  <c r="V156" s="1"/>
  <c r="J158"/>
  <c r="V158" s="1"/>
  <c r="J166"/>
  <c r="V166" s="1"/>
  <c r="J168"/>
  <c r="V168" s="1"/>
  <c r="J170"/>
  <c r="V170" s="1"/>
  <c r="J162"/>
  <c r="V162" s="1"/>
  <c r="J161"/>
  <c r="V161" s="1"/>
  <c r="J169"/>
  <c r="V169" s="1"/>
  <c r="J154"/>
  <c r="V154" s="1"/>
  <c r="M159"/>
  <c r="Y159" s="1"/>
  <c r="M170"/>
  <c r="Y170" s="1"/>
  <c r="M155"/>
  <c r="Y155" s="1"/>
  <c r="M165"/>
  <c r="Y165" s="1"/>
  <c r="M169"/>
  <c r="Y169" s="1"/>
  <c r="M171"/>
  <c r="Y171" s="1"/>
  <c r="M167"/>
  <c r="Y167" s="1"/>
  <c r="M175"/>
  <c r="Y175" s="1"/>
  <c r="M177"/>
  <c r="Y177" s="1"/>
  <c r="M172"/>
  <c r="Y172" s="1"/>
  <c r="M156"/>
  <c r="Y156" s="1"/>
  <c r="M166"/>
  <c r="Y166" s="1"/>
  <c r="M162"/>
  <c r="Y162" s="1"/>
  <c r="M164"/>
  <c r="Y164" s="1"/>
  <c r="M168"/>
  <c r="Y168" s="1"/>
  <c r="M163"/>
  <c r="Y163" s="1"/>
  <c r="M157"/>
  <c r="Y157" s="1"/>
  <c r="M161"/>
  <c r="Y161" s="1"/>
  <c r="M160"/>
  <c r="Y160" s="1"/>
  <c r="M158"/>
  <c r="Y158" s="1"/>
  <c r="M176"/>
  <c r="Y176" s="1"/>
  <c r="M173"/>
  <c r="Y173" s="1"/>
  <c r="M126"/>
  <c r="M154"/>
  <c r="Y154" s="1"/>
  <c r="Y114"/>
  <c r="M142"/>
  <c r="Y112"/>
  <c r="M140"/>
  <c r="Y107"/>
  <c r="M135"/>
  <c r="Y101"/>
  <c r="M129"/>
  <c r="Y105"/>
  <c r="M133"/>
  <c r="Y104"/>
  <c r="M132"/>
  <c r="Y102"/>
  <c r="M130"/>
  <c r="Y120"/>
  <c r="M148"/>
  <c r="Y117"/>
  <c r="M145"/>
  <c r="Y103"/>
  <c r="M131"/>
  <c r="Y109"/>
  <c r="M137"/>
  <c r="Y99"/>
  <c r="M127"/>
  <c r="Y113"/>
  <c r="M141"/>
  <c r="Y115"/>
  <c r="M143"/>
  <c r="Y111"/>
  <c r="M139"/>
  <c r="Y119"/>
  <c r="M147"/>
  <c r="Y121"/>
  <c r="M149"/>
  <c r="Y116"/>
  <c r="M144"/>
  <c r="Y100"/>
  <c r="M128"/>
  <c r="Y110"/>
  <c r="M138"/>
  <c r="Y106"/>
  <c r="M134"/>
  <c r="Y108"/>
  <c r="M136"/>
  <c r="X105"/>
  <c r="L133"/>
  <c r="X103"/>
  <c r="L131"/>
  <c r="X118"/>
  <c r="L146"/>
  <c r="X116"/>
  <c r="L144"/>
  <c r="X109"/>
  <c r="L137"/>
  <c r="X108"/>
  <c r="L136"/>
  <c r="X113"/>
  <c r="L141"/>
  <c r="X115"/>
  <c r="L143"/>
  <c r="X117"/>
  <c r="L145"/>
  <c r="X121"/>
  <c r="L149"/>
  <c r="X100"/>
  <c r="L128"/>
  <c r="X120"/>
  <c r="L148"/>
  <c r="X107"/>
  <c r="L135"/>
  <c r="X112"/>
  <c r="L140"/>
  <c r="X119"/>
  <c r="L147"/>
  <c r="X99"/>
  <c r="L127"/>
  <c r="X102"/>
  <c r="L130"/>
  <c r="X104"/>
  <c r="L132"/>
  <c r="X111"/>
  <c r="L139"/>
  <c r="X114"/>
  <c r="L142"/>
  <c r="X110"/>
  <c r="L138"/>
  <c r="X106"/>
  <c r="L134"/>
  <c r="L126"/>
  <c r="W109"/>
  <c r="K137"/>
  <c r="W114"/>
  <c r="K142"/>
  <c r="W105"/>
  <c r="K133"/>
  <c r="W111"/>
  <c r="K139"/>
  <c r="W107"/>
  <c r="K135"/>
  <c r="W120"/>
  <c r="K148"/>
  <c r="W103"/>
  <c r="K131"/>
  <c r="W102"/>
  <c r="K130"/>
  <c r="W106"/>
  <c r="K134"/>
  <c r="W117"/>
  <c r="K145"/>
  <c r="W119"/>
  <c r="K147"/>
  <c r="W101"/>
  <c r="K129"/>
  <c r="W116"/>
  <c r="K144"/>
  <c r="W118"/>
  <c r="K146"/>
  <c r="W99"/>
  <c r="K127"/>
  <c r="W100"/>
  <c r="K128"/>
  <c r="W110"/>
  <c r="K138"/>
  <c r="W121"/>
  <c r="K149"/>
  <c r="W108"/>
  <c r="K136"/>
  <c r="W112"/>
  <c r="K140"/>
  <c r="W113"/>
  <c r="K141"/>
  <c r="W104"/>
  <c r="K132"/>
  <c r="K126"/>
  <c r="V108"/>
  <c r="J136"/>
  <c r="V118"/>
  <c r="J146"/>
  <c r="V120"/>
  <c r="J148"/>
  <c r="V110"/>
  <c r="J138"/>
  <c r="V112"/>
  <c r="J140"/>
  <c r="V104"/>
  <c r="J132"/>
  <c r="V107"/>
  <c r="J135"/>
  <c r="V119"/>
  <c r="J147"/>
  <c r="V101"/>
  <c r="J129"/>
  <c r="V109"/>
  <c r="J137"/>
  <c r="V121"/>
  <c r="J149"/>
  <c r="V111"/>
  <c r="J139"/>
  <c r="V115"/>
  <c r="J143"/>
  <c r="V105"/>
  <c r="J133"/>
  <c r="V99"/>
  <c r="J127"/>
  <c r="V103"/>
  <c r="J131"/>
  <c r="V113"/>
  <c r="J141"/>
  <c r="V116"/>
  <c r="J144"/>
  <c r="V106"/>
  <c r="J134"/>
  <c r="V100"/>
  <c r="J128"/>
  <c r="V102"/>
  <c r="J130"/>
  <c r="V114"/>
  <c r="J142"/>
  <c r="J126"/>
  <c r="P126" s="1"/>
  <c r="AC40"/>
  <c r="AD40"/>
  <c r="AA40"/>
  <c r="J88"/>
  <c r="P88" s="1"/>
  <c r="X40"/>
  <c r="L72"/>
  <c r="R72" s="1"/>
  <c r="M89"/>
  <c r="K86"/>
  <c r="AC48"/>
  <c r="AB48"/>
  <c r="AC54"/>
  <c r="AB54"/>
  <c r="AB43"/>
  <c r="AC43"/>
  <c r="AB47"/>
  <c r="AC47"/>
  <c r="AB46"/>
  <c r="AC46"/>
  <c r="AB44"/>
  <c r="AC44"/>
  <c r="AB62"/>
  <c r="AC62"/>
  <c r="AB59"/>
  <c r="AC59"/>
  <c r="AC45"/>
  <c r="AB45"/>
  <c r="AB56"/>
  <c r="AC56"/>
  <c r="AB41"/>
  <c r="AC41"/>
  <c r="AB51"/>
  <c r="AC51"/>
  <c r="AB55"/>
  <c r="AC55"/>
  <c r="AB57"/>
  <c r="AC57"/>
  <c r="AB53"/>
  <c r="AC53"/>
  <c r="AB61"/>
  <c r="AC61"/>
  <c r="AC63"/>
  <c r="AB63"/>
  <c r="AB58"/>
  <c r="AC58"/>
  <c r="AC42"/>
  <c r="AB42"/>
  <c r="AB52"/>
  <c r="AC52"/>
  <c r="AB50"/>
  <c r="AC50"/>
  <c r="AB49"/>
  <c r="AC49"/>
  <c r="Y53"/>
  <c r="Z53"/>
  <c r="Y56"/>
  <c r="Z56"/>
  <c r="Z48"/>
  <c r="Y48"/>
  <c r="Z45"/>
  <c r="Y45"/>
  <c r="Z60"/>
  <c r="Y60"/>
  <c r="Y58"/>
  <c r="Z58"/>
  <c r="Y41"/>
  <c r="Z41"/>
  <c r="Y46"/>
  <c r="Z46"/>
  <c r="Y52"/>
  <c r="Z52"/>
  <c r="Y51"/>
  <c r="Z51"/>
  <c r="Y50"/>
  <c r="Z50"/>
  <c r="Y55"/>
  <c r="Z55"/>
  <c r="Y59"/>
  <c r="Z59"/>
  <c r="Y57"/>
  <c r="Z57"/>
  <c r="Y63"/>
  <c r="Z63"/>
  <c r="Z42"/>
  <c r="Y42"/>
  <c r="Y47"/>
  <c r="Z47"/>
  <c r="Z62"/>
  <c r="Y62"/>
  <c r="Z54"/>
  <c r="Y54"/>
  <c r="Y61"/>
  <c r="Z61"/>
  <c r="Y44"/>
  <c r="Z44"/>
  <c r="Y49"/>
  <c r="Z49"/>
  <c r="V62"/>
  <c r="W62"/>
  <c r="V59"/>
  <c r="W59"/>
  <c r="V42"/>
  <c r="W42"/>
  <c r="V56"/>
  <c r="W56"/>
  <c r="V50"/>
  <c r="W50"/>
  <c r="V55"/>
  <c r="W55"/>
  <c r="V47"/>
  <c r="W47"/>
  <c r="V46"/>
  <c r="W46"/>
  <c r="V58"/>
  <c r="W58"/>
  <c r="V52"/>
  <c r="W52"/>
  <c r="V51"/>
  <c r="W51"/>
  <c r="V60"/>
  <c r="W60"/>
  <c r="V63"/>
  <c r="W63"/>
  <c r="V41"/>
  <c r="W41"/>
  <c r="W54"/>
  <c r="V54"/>
  <c r="V53"/>
  <c r="W53"/>
  <c r="V49"/>
  <c r="W49"/>
  <c r="V48"/>
  <c r="W48"/>
  <c r="V45"/>
  <c r="W45"/>
  <c r="V44"/>
  <c r="W44"/>
  <c r="V61"/>
  <c r="W61"/>
  <c r="V43"/>
  <c r="W43"/>
  <c r="S55"/>
  <c r="T55"/>
  <c r="T48"/>
  <c r="S48"/>
  <c r="S58"/>
  <c r="T58"/>
  <c r="S62"/>
  <c r="T62"/>
  <c r="S44"/>
  <c r="T44"/>
  <c r="S52"/>
  <c r="T52"/>
  <c r="S56"/>
  <c r="T56"/>
  <c r="S46"/>
  <c r="T46"/>
  <c r="S49"/>
  <c r="T49"/>
  <c r="S41"/>
  <c r="T41"/>
  <c r="S45"/>
  <c r="T45"/>
  <c r="T53"/>
  <c r="S53"/>
  <c r="S57"/>
  <c r="T57"/>
  <c r="S50"/>
  <c r="T50"/>
  <c r="S60"/>
  <c r="T60"/>
  <c r="T42"/>
  <c r="S42"/>
  <c r="T54"/>
  <c r="S54"/>
  <c r="S47"/>
  <c r="T47"/>
  <c r="S43"/>
  <c r="T43"/>
  <c r="S51"/>
  <c r="T51"/>
  <c r="S63"/>
  <c r="T63"/>
  <c r="S61"/>
  <c r="T61"/>
  <c r="AB40"/>
  <c r="Y40"/>
  <c r="Z40"/>
  <c r="V40"/>
  <c r="W40"/>
  <c r="S40"/>
  <c r="T40"/>
  <c r="W98" l="1"/>
  <c r="K122"/>
  <c r="X6" s="1"/>
  <c r="Y6" s="1"/>
  <c r="Y98"/>
  <c r="M122"/>
  <c r="X8" s="1"/>
  <c r="Y8" s="1"/>
  <c r="X98"/>
  <c r="L122"/>
  <c r="X7" s="1"/>
  <c r="Y7" s="1"/>
  <c r="V98"/>
  <c r="J122"/>
  <c r="X5" s="1"/>
  <c r="X72"/>
  <c r="R101" s="1"/>
  <c r="R213" s="1"/>
  <c r="X213" s="1"/>
  <c r="V88"/>
  <c r="P117" s="1"/>
  <c r="P229" s="1"/>
  <c r="S167"/>
  <c r="R170"/>
  <c r="R177"/>
  <c r="S158"/>
  <c r="S175"/>
  <c r="P170"/>
  <c r="P157"/>
  <c r="Q161"/>
  <c r="Q157"/>
  <c r="R162"/>
  <c r="R156"/>
  <c r="S160"/>
  <c r="Q169"/>
  <c r="Q175"/>
  <c r="S176"/>
  <c r="S177"/>
  <c r="P162"/>
  <c r="P159"/>
  <c r="Q167"/>
  <c r="Q156"/>
  <c r="R172"/>
  <c r="R161"/>
  <c r="P168"/>
  <c r="P155"/>
  <c r="S173"/>
  <c r="S172"/>
  <c r="P161"/>
  <c r="P171"/>
  <c r="Q163"/>
  <c r="Q166"/>
  <c r="R159"/>
  <c r="R176"/>
  <c r="S156"/>
  <c r="P169"/>
  <c r="P167"/>
  <c r="Q160"/>
  <c r="Q172"/>
  <c r="R169"/>
  <c r="R163"/>
  <c r="S166"/>
  <c r="P172"/>
  <c r="Q162"/>
  <c r="Q165"/>
  <c r="R164"/>
  <c r="R168"/>
  <c r="S162"/>
  <c r="S159"/>
  <c r="P164"/>
  <c r="Q170"/>
  <c r="R173"/>
  <c r="R175"/>
  <c r="S164"/>
  <c r="S170"/>
  <c r="P174"/>
  <c r="P160"/>
  <c r="Q174"/>
  <c r="R155"/>
  <c r="S168"/>
  <c r="S155"/>
  <c r="P176"/>
  <c r="P163"/>
  <c r="Q177"/>
  <c r="Q176"/>
  <c r="R160"/>
  <c r="S163"/>
  <c r="S165"/>
  <c r="P156"/>
  <c r="P165"/>
  <c r="Q155"/>
  <c r="Q159"/>
  <c r="R167"/>
  <c r="R174"/>
  <c r="S157"/>
  <c r="S169"/>
  <c r="P158"/>
  <c r="P175"/>
  <c r="Q164"/>
  <c r="Q158"/>
  <c r="R158"/>
  <c r="R165"/>
  <c r="S161"/>
  <c r="S171"/>
  <c r="P166"/>
  <c r="P177"/>
  <c r="Q168"/>
  <c r="Q173"/>
  <c r="R166"/>
  <c r="R171"/>
  <c r="S154"/>
  <c r="R154"/>
  <c r="Q154"/>
  <c r="P154"/>
  <c r="V134"/>
  <c r="P190" s="1"/>
  <c r="P134"/>
  <c r="V128"/>
  <c r="P184" s="1"/>
  <c r="P128"/>
  <c r="V133"/>
  <c r="P189" s="1"/>
  <c r="P133"/>
  <c r="V147"/>
  <c r="P203" s="1"/>
  <c r="P147"/>
  <c r="V146"/>
  <c r="P202" s="1"/>
  <c r="P146"/>
  <c r="W136"/>
  <c r="Q192" s="1"/>
  <c r="Q136"/>
  <c r="W144"/>
  <c r="Q200" s="1"/>
  <c r="Q144"/>
  <c r="W131"/>
  <c r="Q187" s="1"/>
  <c r="Q131"/>
  <c r="W137"/>
  <c r="Q193" s="1"/>
  <c r="Q137"/>
  <c r="X132"/>
  <c r="R188" s="1"/>
  <c r="R132"/>
  <c r="X148"/>
  <c r="R204" s="1"/>
  <c r="R148"/>
  <c r="X136"/>
  <c r="R192" s="1"/>
  <c r="R136"/>
  <c r="Y136"/>
  <c r="S192" s="1"/>
  <c r="S136"/>
  <c r="Y147"/>
  <c r="S203" s="1"/>
  <c r="S147"/>
  <c r="Y131"/>
  <c r="S187" s="1"/>
  <c r="S131"/>
  <c r="Y129"/>
  <c r="S185" s="1"/>
  <c r="S129"/>
  <c r="V130"/>
  <c r="P186" s="1"/>
  <c r="P130"/>
  <c r="V127"/>
  <c r="P183" s="1"/>
  <c r="P127"/>
  <c r="V129"/>
  <c r="P185" s="1"/>
  <c r="P129"/>
  <c r="V148"/>
  <c r="P204" s="1"/>
  <c r="P148"/>
  <c r="W140"/>
  <c r="Q196" s="1"/>
  <c r="Q140"/>
  <c r="W146"/>
  <c r="Q202" s="1"/>
  <c r="Q146"/>
  <c r="W130"/>
  <c r="Q186" s="1"/>
  <c r="Q130"/>
  <c r="W142"/>
  <c r="Q198" s="1"/>
  <c r="Q142"/>
  <c r="X139"/>
  <c r="R195" s="1"/>
  <c r="R139"/>
  <c r="X135"/>
  <c r="R191" s="1"/>
  <c r="R135"/>
  <c r="X141"/>
  <c r="R197" s="1"/>
  <c r="R141"/>
  <c r="X133"/>
  <c r="R189" s="1"/>
  <c r="R133"/>
  <c r="Y149"/>
  <c r="S205" s="1"/>
  <c r="S149"/>
  <c r="Y137"/>
  <c r="S193" s="1"/>
  <c r="S137"/>
  <c r="Y133"/>
  <c r="S189" s="1"/>
  <c r="S133"/>
  <c r="V142"/>
  <c r="P198" s="1"/>
  <c r="P142"/>
  <c r="V131"/>
  <c r="P187" s="1"/>
  <c r="P131"/>
  <c r="V137"/>
  <c r="P193" s="1"/>
  <c r="P137"/>
  <c r="V138"/>
  <c r="P194" s="1"/>
  <c r="P138"/>
  <c r="W141"/>
  <c r="Q197" s="1"/>
  <c r="Q141"/>
  <c r="W127"/>
  <c r="Q183" s="1"/>
  <c r="Q127"/>
  <c r="W134"/>
  <c r="Q190" s="1"/>
  <c r="Q134"/>
  <c r="W133"/>
  <c r="Q189" s="1"/>
  <c r="Q133"/>
  <c r="X142"/>
  <c r="R198" s="1"/>
  <c r="R142"/>
  <c r="X140"/>
  <c r="R196" s="1"/>
  <c r="R140"/>
  <c r="X143"/>
  <c r="R199" s="1"/>
  <c r="R143"/>
  <c r="X131"/>
  <c r="R187" s="1"/>
  <c r="R131"/>
  <c r="Y144"/>
  <c r="S200" s="1"/>
  <c r="S144"/>
  <c r="Y127"/>
  <c r="S183" s="1"/>
  <c r="S127"/>
  <c r="Y132"/>
  <c r="S188" s="1"/>
  <c r="S132"/>
  <c r="V141"/>
  <c r="P197" s="1"/>
  <c r="P141"/>
  <c r="V149"/>
  <c r="P205" s="1"/>
  <c r="P149"/>
  <c r="V140"/>
  <c r="P196" s="1"/>
  <c r="P140"/>
  <c r="W132"/>
  <c r="Q188" s="1"/>
  <c r="Q132"/>
  <c r="W128"/>
  <c r="Q184" s="1"/>
  <c r="Q128"/>
  <c r="W145"/>
  <c r="Q201" s="1"/>
  <c r="Q145"/>
  <c r="W139"/>
  <c r="Q195" s="1"/>
  <c r="Q139"/>
  <c r="X138"/>
  <c r="R194" s="1"/>
  <c r="R138"/>
  <c r="X147"/>
  <c r="R203" s="1"/>
  <c r="R147"/>
  <c r="X145"/>
  <c r="R201" s="1"/>
  <c r="R145"/>
  <c r="X146"/>
  <c r="R202" s="1"/>
  <c r="R146"/>
  <c r="Y128"/>
  <c r="S184" s="1"/>
  <c r="S128"/>
  <c r="Y141"/>
  <c r="S197" s="1"/>
  <c r="S141"/>
  <c r="Y130"/>
  <c r="S186" s="1"/>
  <c r="S130"/>
  <c r="Y142"/>
  <c r="S198" s="1"/>
  <c r="S142"/>
  <c r="V144"/>
  <c r="P200" s="1"/>
  <c r="P144"/>
  <c r="V139"/>
  <c r="P195" s="1"/>
  <c r="P139"/>
  <c r="V132"/>
  <c r="P188" s="1"/>
  <c r="P132"/>
  <c r="W138"/>
  <c r="Q194" s="1"/>
  <c r="Q138"/>
  <c r="W147"/>
  <c r="Q203" s="1"/>
  <c r="Q147"/>
  <c r="W135"/>
  <c r="Q191" s="1"/>
  <c r="Q135"/>
  <c r="X134"/>
  <c r="R190" s="1"/>
  <c r="R134"/>
  <c r="X127"/>
  <c r="R183" s="1"/>
  <c r="R127"/>
  <c r="X149"/>
  <c r="R205" s="1"/>
  <c r="R149"/>
  <c r="X144"/>
  <c r="R200" s="1"/>
  <c r="R144"/>
  <c r="Y138"/>
  <c r="S194" s="1"/>
  <c r="S138"/>
  <c r="Y143"/>
  <c r="S199" s="1"/>
  <c r="S143"/>
  <c r="Y148"/>
  <c r="S204" s="1"/>
  <c r="S148"/>
  <c r="Y140"/>
  <c r="S196" s="1"/>
  <c r="S140"/>
  <c r="V135"/>
  <c r="P191" s="1"/>
  <c r="P135"/>
  <c r="V136"/>
  <c r="P192" s="1"/>
  <c r="P136"/>
  <c r="W149"/>
  <c r="Q205" s="1"/>
  <c r="Q149"/>
  <c r="W129"/>
  <c r="Q185" s="1"/>
  <c r="Q129"/>
  <c r="W148"/>
  <c r="Q204" s="1"/>
  <c r="Q148"/>
  <c r="X130"/>
  <c r="R186" s="1"/>
  <c r="R130"/>
  <c r="X128"/>
  <c r="R184" s="1"/>
  <c r="R128"/>
  <c r="X137"/>
  <c r="R193" s="1"/>
  <c r="R137"/>
  <c r="Y134"/>
  <c r="S190" s="1"/>
  <c r="S134"/>
  <c r="Y139"/>
  <c r="S195" s="1"/>
  <c r="S139"/>
  <c r="Y145"/>
  <c r="S201" s="1"/>
  <c r="S145"/>
  <c r="Y135"/>
  <c r="S191" s="1"/>
  <c r="S135"/>
  <c r="V143"/>
  <c r="P199" s="1"/>
  <c r="P143"/>
  <c r="Y126"/>
  <c r="S126"/>
  <c r="X126"/>
  <c r="R126"/>
  <c r="W126"/>
  <c r="Q126"/>
  <c r="V126"/>
  <c r="Q86"/>
  <c r="W86" s="1"/>
  <c r="S89"/>
  <c r="M69"/>
  <c r="J80"/>
  <c r="P80" s="1"/>
  <c r="J79"/>
  <c r="P79" s="1"/>
  <c r="J75"/>
  <c r="P75" s="1"/>
  <c r="J72"/>
  <c r="P72" s="1"/>
  <c r="L78"/>
  <c r="R78" s="1"/>
  <c r="L80"/>
  <c r="R80" s="1"/>
  <c r="M81"/>
  <c r="M86"/>
  <c r="M88"/>
  <c r="J86"/>
  <c r="P86" s="1"/>
  <c r="J85"/>
  <c r="P85" s="1"/>
  <c r="J84"/>
  <c r="P84" s="1"/>
  <c r="M84"/>
  <c r="M91"/>
  <c r="J90"/>
  <c r="P90" s="1"/>
  <c r="J70"/>
  <c r="P70" s="1"/>
  <c r="J91"/>
  <c r="P91" s="1"/>
  <c r="K73"/>
  <c r="K70"/>
  <c r="K75"/>
  <c r="K88"/>
  <c r="L84"/>
  <c r="R84" s="1"/>
  <c r="L87"/>
  <c r="R87" s="1"/>
  <c r="M78"/>
  <c r="M90"/>
  <c r="M85"/>
  <c r="M76"/>
  <c r="J74"/>
  <c r="P74" s="1"/>
  <c r="J73"/>
  <c r="P73" s="1"/>
  <c r="K90"/>
  <c r="K87"/>
  <c r="K71"/>
  <c r="L88"/>
  <c r="R88" s="1"/>
  <c r="L70"/>
  <c r="R70" s="1"/>
  <c r="L82"/>
  <c r="R82" s="1"/>
  <c r="M70"/>
  <c r="M75"/>
  <c r="J76"/>
  <c r="P76" s="1"/>
  <c r="J81"/>
  <c r="P81" s="1"/>
  <c r="J92"/>
  <c r="P92" s="1"/>
  <c r="J89"/>
  <c r="P89" s="1"/>
  <c r="J78"/>
  <c r="P78" s="1"/>
  <c r="J87"/>
  <c r="P87" s="1"/>
  <c r="J71"/>
  <c r="P71" s="1"/>
  <c r="L69"/>
  <c r="R69" s="1"/>
  <c r="J83"/>
  <c r="P83" s="1"/>
  <c r="J82"/>
  <c r="P82" s="1"/>
  <c r="J77"/>
  <c r="P77" s="1"/>
  <c r="J69"/>
  <c r="M74"/>
  <c r="M92"/>
  <c r="S92" s="1"/>
  <c r="M87"/>
  <c r="M80"/>
  <c r="M73"/>
  <c r="M71"/>
  <c r="M77"/>
  <c r="M83"/>
  <c r="K74"/>
  <c r="K92"/>
  <c r="Q92" s="1"/>
  <c r="K76"/>
  <c r="M79"/>
  <c r="M82"/>
  <c r="M72"/>
  <c r="L77"/>
  <c r="R77" s="1"/>
  <c r="K91"/>
  <c r="L76"/>
  <c r="R76" s="1"/>
  <c r="L79"/>
  <c r="R79" s="1"/>
  <c r="L90"/>
  <c r="R90" s="1"/>
  <c r="L86"/>
  <c r="R86" s="1"/>
  <c r="L75"/>
  <c r="R75" s="1"/>
  <c r="L85"/>
  <c r="R85" s="1"/>
  <c r="L71"/>
  <c r="R71" s="1"/>
  <c r="L91"/>
  <c r="R91" s="1"/>
  <c r="L74"/>
  <c r="R74" s="1"/>
  <c r="L89"/>
  <c r="R89" s="1"/>
  <c r="L83"/>
  <c r="R83" s="1"/>
  <c r="L73"/>
  <c r="R73" s="1"/>
  <c r="L92"/>
  <c r="R92" s="1"/>
  <c r="L81"/>
  <c r="R81" s="1"/>
  <c r="K78"/>
  <c r="K80"/>
  <c r="K79"/>
  <c r="K77"/>
  <c r="K89"/>
  <c r="K84"/>
  <c r="K72"/>
  <c r="K82"/>
  <c r="K81"/>
  <c r="K85"/>
  <c r="K83"/>
  <c r="K69"/>
  <c r="X12" l="1"/>
  <c r="Y5"/>
  <c r="Y12" s="1"/>
  <c r="R182"/>
  <c r="S182"/>
  <c r="P182"/>
  <c r="Q182"/>
  <c r="Y89"/>
  <c r="S118" s="1"/>
  <c r="S230" s="1"/>
  <c r="Y230" s="1"/>
  <c r="Y92"/>
  <c r="S121" s="1"/>
  <c r="S233" s="1"/>
  <c r="X78"/>
  <c r="R107" s="1"/>
  <c r="R219" s="1"/>
  <c r="X219" s="1"/>
  <c r="X76"/>
  <c r="R105" s="1"/>
  <c r="R217" s="1"/>
  <c r="X80"/>
  <c r="R109" s="1"/>
  <c r="R221" s="1"/>
  <c r="X81"/>
  <c r="R110" s="1"/>
  <c r="R222" s="1"/>
  <c r="X222" s="1"/>
  <c r="X79"/>
  <c r="R108" s="1"/>
  <c r="R220" s="1"/>
  <c r="X220" s="1"/>
  <c r="X90"/>
  <c r="R119" s="1"/>
  <c r="R231" s="1"/>
  <c r="X231" s="1"/>
  <c r="X88"/>
  <c r="R117" s="1"/>
  <c r="R229" s="1"/>
  <c r="X75"/>
  <c r="R104" s="1"/>
  <c r="X70"/>
  <c r="R99" s="1"/>
  <c r="R211" s="1"/>
  <c r="X211" s="1"/>
  <c r="X84"/>
  <c r="R113" s="1"/>
  <c r="R225" s="1"/>
  <c r="X85"/>
  <c r="R114" s="1"/>
  <c r="R226" s="1"/>
  <c r="X226" s="1"/>
  <c r="X87"/>
  <c r="R116" s="1"/>
  <c r="R228" s="1"/>
  <c r="X228" s="1"/>
  <c r="X86"/>
  <c r="R115" s="1"/>
  <c r="R227" s="1"/>
  <c r="X82"/>
  <c r="R111" s="1"/>
  <c r="R223" s="1"/>
  <c r="X71"/>
  <c r="R100" s="1"/>
  <c r="R212" s="1"/>
  <c r="X212" s="1"/>
  <c r="X91"/>
  <c r="R120" s="1"/>
  <c r="R232" s="1"/>
  <c r="X74"/>
  <c r="R103" s="1"/>
  <c r="R215" s="1"/>
  <c r="X83"/>
  <c r="R112" s="1"/>
  <c r="R224" s="1"/>
  <c r="X224" s="1"/>
  <c r="X89"/>
  <c r="R118" s="1"/>
  <c r="R230" s="1"/>
  <c r="X73"/>
  <c r="R102" s="1"/>
  <c r="R214" s="1"/>
  <c r="X214" s="1"/>
  <c r="X77"/>
  <c r="R106" s="1"/>
  <c r="R218" s="1"/>
  <c r="X218" s="1"/>
  <c r="X92"/>
  <c r="R121" s="1"/>
  <c r="R233" s="1"/>
  <c r="X233" s="1"/>
  <c r="X69"/>
  <c r="R98" s="1"/>
  <c r="W92"/>
  <c r="Q121" s="1"/>
  <c r="Q233" s="1"/>
  <c r="W233" s="1"/>
  <c r="V89"/>
  <c r="P118" s="1"/>
  <c r="P230" s="1"/>
  <c r="V91"/>
  <c r="P120" s="1"/>
  <c r="P232" s="1"/>
  <c r="V232" s="1"/>
  <c r="V78"/>
  <c r="P107" s="1"/>
  <c r="P219" s="1"/>
  <c r="V87"/>
  <c r="P116" s="1"/>
  <c r="P228" s="1"/>
  <c r="V228" s="1"/>
  <c r="V71"/>
  <c r="P100" s="1"/>
  <c r="P212" s="1"/>
  <c r="V212" s="1"/>
  <c r="V81"/>
  <c r="P110" s="1"/>
  <c r="P222" s="1"/>
  <c r="V222" s="1"/>
  <c r="V86"/>
  <c r="P115" s="1"/>
  <c r="P227" s="1"/>
  <c r="V82"/>
  <c r="P111" s="1"/>
  <c r="P223" s="1"/>
  <c r="V223" s="1"/>
  <c r="V83"/>
  <c r="P112" s="1"/>
  <c r="P224" s="1"/>
  <c r="V85"/>
  <c r="P114" s="1"/>
  <c r="P226" s="1"/>
  <c r="V77"/>
  <c r="P106" s="1"/>
  <c r="P218" s="1"/>
  <c r="V218" s="1"/>
  <c r="V84"/>
  <c r="P113" s="1"/>
  <c r="P225" s="1"/>
  <c r="V80"/>
  <c r="P109" s="1"/>
  <c r="P221" s="1"/>
  <c r="V221" s="1"/>
  <c r="V76"/>
  <c r="P105" s="1"/>
  <c r="P217" s="1"/>
  <c r="V217" s="1"/>
  <c r="V79"/>
  <c r="P108" s="1"/>
  <c r="P220" s="1"/>
  <c r="V220" s="1"/>
  <c r="V75"/>
  <c r="P104" s="1"/>
  <c r="P216" s="1"/>
  <c r="V216" s="1"/>
  <c r="V92"/>
  <c r="P121" s="1"/>
  <c r="P233" s="1"/>
  <c r="V74"/>
  <c r="P103" s="1"/>
  <c r="V70"/>
  <c r="P99" s="1"/>
  <c r="V72"/>
  <c r="P101" s="1"/>
  <c r="P213" s="1"/>
  <c r="V213" s="1"/>
  <c r="V73"/>
  <c r="P102" s="1"/>
  <c r="P214" s="1"/>
  <c r="V214" s="1"/>
  <c r="V90"/>
  <c r="P119" s="1"/>
  <c r="P231" s="1"/>
  <c r="V229"/>
  <c r="Q91"/>
  <c r="W91" s="1"/>
  <c r="S80"/>
  <c r="Q83"/>
  <c r="W83" s="1"/>
  <c r="S73"/>
  <c r="Q90"/>
  <c r="W90" s="1"/>
  <c r="Q73"/>
  <c r="W73" s="1"/>
  <c r="Q69"/>
  <c r="W69" s="1"/>
  <c r="S71"/>
  <c r="Q87"/>
  <c r="W87" s="1"/>
  <c r="Q70"/>
  <c r="W70" s="1"/>
  <c r="S81"/>
  <c r="Q78"/>
  <c r="W78" s="1"/>
  <c r="S77"/>
  <c r="Q71"/>
  <c r="W71" s="1"/>
  <c r="Q75"/>
  <c r="W75" s="1"/>
  <c r="S86"/>
  <c r="Q88"/>
  <c r="W88" s="1"/>
  <c r="Q77"/>
  <c r="W77" s="1"/>
  <c r="Q80"/>
  <c r="W80" s="1"/>
  <c r="S83"/>
  <c r="Q79"/>
  <c r="W79" s="1"/>
  <c r="S88"/>
  <c r="Q74"/>
  <c r="W74" s="1"/>
  <c r="Q89"/>
  <c r="W89" s="1"/>
  <c r="Q76"/>
  <c r="W76" s="1"/>
  <c r="S70"/>
  <c r="S78"/>
  <c r="Y78" s="1"/>
  <c r="S69"/>
  <c r="Q84"/>
  <c r="W84" s="1"/>
  <c r="S79"/>
  <c r="S75"/>
  <c r="S90"/>
  <c r="S84"/>
  <c r="Q72"/>
  <c r="W72" s="1"/>
  <c r="S82"/>
  <c r="S74"/>
  <c r="S85"/>
  <c r="S91"/>
  <c r="Q82"/>
  <c r="W82" s="1"/>
  <c r="S72"/>
  <c r="S87"/>
  <c r="S76"/>
  <c r="Q81"/>
  <c r="W81" s="1"/>
  <c r="Q85"/>
  <c r="W85" s="1"/>
  <c r="P69"/>
  <c r="V69" s="1"/>
  <c r="R210" l="1"/>
  <c r="X210" s="1"/>
  <c r="Y91"/>
  <c r="S120" s="1"/>
  <c r="S232" s="1"/>
  <c r="Y232" s="1"/>
  <c r="Y70"/>
  <c r="S99" s="1"/>
  <c r="S211" s="1"/>
  <c r="Y211" s="1"/>
  <c r="Y72"/>
  <c r="S101" s="1"/>
  <c r="S213" s="1"/>
  <c r="Y86"/>
  <c r="S115" s="1"/>
  <c r="S227" s="1"/>
  <c r="Y227" s="1"/>
  <c r="Y73"/>
  <c r="S102" s="1"/>
  <c r="S214" s="1"/>
  <c r="Y214" s="1"/>
  <c r="Y87"/>
  <c r="S116" s="1"/>
  <c r="S228" s="1"/>
  <c r="Y228" s="1"/>
  <c r="Y76"/>
  <c r="S105" s="1"/>
  <c r="S217" s="1"/>
  <c r="Y217" s="1"/>
  <c r="Y79"/>
  <c r="S108" s="1"/>
  <c r="S220" s="1"/>
  <c r="Y220" s="1"/>
  <c r="Y75"/>
  <c r="S104" s="1"/>
  <c r="S216" s="1"/>
  <c r="Y216" s="1"/>
  <c r="Y90"/>
  <c r="S119" s="1"/>
  <c r="S231" s="1"/>
  <c r="Y231" s="1"/>
  <c r="Y83"/>
  <c r="S112" s="1"/>
  <c r="S224" s="1"/>
  <c r="Y224" s="1"/>
  <c r="Y71"/>
  <c r="S100" s="1"/>
  <c r="S212" s="1"/>
  <c r="Y212" s="1"/>
  <c r="Y84"/>
  <c r="S113" s="1"/>
  <c r="S225" s="1"/>
  <c r="Y225" s="1"/>
  <c r="Y88"/>
  <c r="S117" s="1"/>
  <c r="S229" s="1"/>
  <c r="Y229" s="1"/>
  <c r="Y82"/>
  <c r="S111" s="1"/>
  <c r="S223" s="1"/>
  <c r="Y223" s="1"/>
  <c r="Y81"/>
  <c r="S110" s="1"/>
  <c r="S222" s="1"/>
  <c r="Y222" s="1"/>
  <c r="Y74"/>
  <c r="S103" s="1"/>
  <c r="S215" s="1"/>
  <c r="Y215" s="1"/>
  <c r="Y85"/>
  <c r="S114" s="1"/>
  <c r="S226" s="1"/>
  <c r="Y226" s="1"/>
  <c r="Y80"/>
  <c r="S109" s="1"/>
  <c r="S221" s="1"/>
  <c r="Y221" s="1"/>
  <c r="Y77"/>
  <c r="S106" s="1"/>
  <c r="S218" s="1"/>
  <c r="Y218" s="1"/>
  <c r="Y69"/>
  <c r="S98" s="1"/>
  <c r="S107"/>
  <c r="S219" s="1"/>
  <c r="Y219" s="1"/>
  <c r="Q115"/>
  <c r="Q227" s="1"/>
  <c r="W227" s="1"/>
  <c r="V224"/>
  <c r="X225"/>
  <c r="V225"/>
  <c r="V230"/>
  <c r="Y233"/>
  <c r="X215"/>
  <c r="X217"/>
  <c r="X223"/>
  <c r="X232"/>
  <c r="V233"/>
  <c r="X230"/>
  <c r="X227"/>
  <c r="V219"/>
  <c r="P215"/>
  <c r="V215" s="1"/>
  <c r="X229"/>
  <c r="V227"/>
  <c r="P211"/>
  <c r="V211" s="1"/>
  <c r="R216"/>
  <c r="V231"/>
  <c r="V226"/>
  <c r="X221"/>
  <c r="P98"/>
  <c r="P210" s="1"/>
  <c r="Q98"/>
  <c r="R234" l="1"/>
  <c r="R7" s="1"/>
  <c r="Q105"/>
  <c r="Q217" s="1"/>
  <c r="W217" s="1"/>
  <c r="Q116"/>
  <c r="Q228" s="1"/>
  <c r="W228" s="1"/>
  <c r="Q119"/>
  <c r="Q231" s="1"/>
  <c r="W231" s="1"/>
  <c r="Q113"/>
  <c r="Q225" s="1"/>
  <c r="W225" s="1"/>
  <c r="Q103"/>
  <c r="Q215" s="1"/>
  <c r="W215" s="1"/>
  <c r="Q107"/>
  <c r="Q219" s="1"/>
  <c r="W219" s="1"/>
  <c r="Q102"/>
  <c r="Q214" s="1"/>
  <c r="W214" s="1"/>
  <c r="Q109"/>
  <c r="Q221" s="1"/>
  <c r="W221" s="1"/>
  <c r="Q106"/>
  <c r="Q218" s="1"/>
  <c r="W218" s="1"/>
  <c r="Q100"/>
  <c r="Q212" s="1"/>
  <c r="W212" s="1"/>
  <c r="Q114"/>
  <c r="Q226" s="1"/>
  <c r="W226" s="1"/>
  <c r="Q120"/>
  <c r="Q232" s="1"/>
  <c r="W232" s="1"/>
  <c r="Q104"/>
  <c r="Q216" s="1"/>
  <c r="W216" s="1"/>
  <c r="Q112"/>
  <c r="Q224" s="1"/>
  <c r="W224" s="1"/>
  <c r="Q99"/>
  <c r="Q211" s="1"/>
  <c r="W211" s="1"/>
  <c r="Q101"/>
  <c r="Q213" s="1"/>
  <c r="W213" s="1"/>
  <c r="Q111"/>
  <c r="Q223" s="1"/>
  <c r="W223" s="1"/>
  <c r="Q117"/>
  <c r="Q229" s="1"/>
  <c r="W229" s="1"/>
  <c r="Q118"/>
  <c r="Q230" s="1"/>
  <c r="W230" s="1"/>
  <c r="Q108"/>
  <c r="Q220" s="1"/>
  <c r="W220" s="1"/>
  <c r="Q110"/>
  <c r="Q222" s="1"/>
  <c r="W222" s="1"/>
  <c r="X216"/>
  <c r="X234" s="1"/>
  <c r="R12" s="1"/>
  <c r="U12" s="1"/>
  <c r="S210"/>
  <c r="S234" s="1"/>
  <c r="Y213"/>
  <c r="V210"/>
  <c r="V234" s="1"/>
  <c r="Y210" l="1"/>
  <c r="Y234" s="1"/>
  <c r="R13" s="1"/>
  <c r="U13" s="1"/>
  <c r="Q210"/>
  <c r="Q234" s="1"/>
  <c r="R10"/>
  <c r="U10" s="1"/>
  <c r="R8"/>
  <c r="P234"/>
  <c r="W210" l="1"/>
  <c r="W234" s="1"/>
  <c r="V235" s="1"/>
  <c r="R5"/>
  <c r="R6"/>
  <c r="P235"/>
  <c r="R11" l="1"/>
  <c r="U11" s="1"/>
  <c r="R9"/>
  <c r="R14"/>
  <c r="AD5" l="1"/>
  <c r="AD23"/>
  <c r="AD11"/>
  <c r="AD24"/>
  <c r="AD12"/>
  <c r="AD25"/>
  <c r="AD13"/>
  <c r="AD26"/>
  <c r="AD14"/>
  <c r="AD27"/>
  <c r="AD15"/>
  <c r="AD28"/>
  <c r="AD16"/>
  <c r="AD29"/>
  <c r="AD17"/>
  <c r="AD18"/>
  <c r="AD19"/>
  <c r="AD7"/>
  <c r="AD8"/>
  <c r="AD9"/>
  <c r="AD22"/>
  <c r="AD6"/>
  <c r="AD20"/>
  <c r="AD21"/>
  <c r="AD10"/>
  <c r="R16"/>
  <c r="R17" s="1"/>
  <c r="AE6" l="1"/>
  <c r="AE7" s="1"/>
  <c r="AE8" s="1"/>
  <c r="AE9" s="1"/>
  <c r="AE10" s="1"/>
  <c r="AE11" s="1"/>
  <c r="AE12" s="1"/>
  <c r="AE13" s="1"/>
  <c r="AE14" s="1"/>
  <c r="AE15" s="1"/>
  <c r="AE16" s="1"/>
  <c r="AE17" s="1"/>
  <c r="AE18" s="1"/>
  <c r="AE19" s="1"/>
  <c r="AE20" s="1"/>
  <c r="AE21" s="1"/>
  <c r="AE22" s="1"/>
  <c r="AE23" s="1"/>
  <c r="AE24" s="1"/>
  <c r="AE25" s="1"/>
  <c r="AE26" s="1"/>
  <c r="AE27" s="1"/>
  <c r="AE28" s="1"/>
  <c r="AE29" s="1"/>
  <c r="R15" s="1"/>
</calcChain>
</file>

<file path=xl/sharedStrings.xml><?xml version="1.0" encoding="utf-8"?>
<sst xmlns="http://schemas.openxmlformats.org/spreadsheetml/2006/main" count="1479" uniqueCount="601">
  <si>
    <t>Winter</t>
  </si>
  <si>
    <t>AZ</t>
  </si>
  <si>
    <t>Local</t>
  </si>
  <si>
    <t>Spring</t>
  </si>
  <si>
    <t>Summer</t>
  </si>
  <si>
    <t>Fall</t>
  </si>
  <si>
    <t>ZEN</t>
  </si>
  <si>
    <t>E 25 Miami. FL</t>
  </si>
  <si>
    <t>E 35 Charlotte, NC</t>
  </si>
  <si>
    <t>E 42 Buffalo, NY</t>
  </si>
  <si>
    <t>E 43 Portland, ME</t>
  </si>
  <si>
    <t>E 25 Miami, FL</t>
  </si>
  <si>
    <t>E 40 Columbus, OH</t>
  </si>
  <si>
    <t>AZ 25</t>
  </si>
  <si>
    <t>ZEN 25</t>
  </si>
  <si>
    <t>AZ 30</t>
  </si>
  <si>
    <t>ZEN 30</t>
  </si>
  <si>
    <t>AZ 35</t>
  </si>
  <si>
    <t>ZEN 35</t>
  </si>
  <si>
    <t>AZ 40</t>
  </si>
  <si>
    <t>ZEN 40</t>
  </si>
  <si>
    <t>AZ 42</t>
  </si>
  <si>
    <t>ZEN 42</t>
  </si>
  <si>
    <t>AZ 43</t>
  </si>
  <si>
    <t>ZEN 43</t>
  </si>
  <si>
    <t>C 26 Brownsville, TX</t>
  </si>
  <si>
    <t>C 30 New Orleans, LA</t>
  </si>
  <si>
    <t>C 36 Tulsa, OK</t>
  </si>
  <si>
    <t>C 48 Devils Lake, ND</t>
  </si>
  <si>
    <t>AZ 26</t>
  </si>
  <si>
    <t>ZEN 26</t>
  </si>
  <si>
    <t>AZ 36</t>
  </si>
  <si>
    <t>ZEN 36</t>
  </si>
  <si>
    <t>AZ 41</t>
  </si>
  <si>
    <t>ZEN 41</t>
  </si>
  <si>
    <t>AZ 45</t>
  </si>
  <si>
    <t>ZEN 45</t>
  </si>
  <si>
    <t>AZ 48</t>
  </si>
  <si>
    <t>ZEN 48</t>
  </si>
  <si>
    <t>C 41 Lincoln, NE</t>
  </si>
  <si>
    <t>C 45 Minneapolis, MN</t>
  </si>
  <si>
    <t>M 32 Tuscon, AZ</t>
  </si>
  <si>
    <t>M 39 Grand Junction, CO</t>
  </si>
  <si>
    <t>M 43 Lander, WY</t>
  </si>
  <si>
    <t>AZ 32</t>
  </si>
  <si>
    <t>ZEN 32</t>
  </si>
  <si>
    <t>AZ 33</t>
  </si>
  <si>
    <t>ZEN 33</t>
  </si>
  <si>
    <t>AZ 39</t>
  </si>
  <si>
    <t>ZEN 39</t>
  </si>
  <si>
    <t>AZ 47</t>
  </si>
  <si>
    <t>ZEN 47</t>
  </si>
  <si>
    <t>M 47 Great Falls, MT</t>
  </si>
  <si>
    <t>P 33 San Diego, CA</t>
  </si>
  <si>
    <t>P 37 Fresno, CA</t>
  </si>
  <si>
    <t>P 39 Ely, NV</t>
  </si>
  <si>
    <t>P 43 Roseburg, OR</t>
  </si>
  <si>
    <t>P 48 Seattle, WA</t>
  </si>
  <si>
    <t>AZ 37</t>
  </si>
  <si>
    <t>ZEN 37</t>
  </si>
  <si>
    <t>E 30 Jacksonville, FL</t>
  </si>
  <si>
    <t>Ref 1</t>
  </si>
  <si>
    <t>Ref 2</t>
  </si>
  <si>
    <t>Choose time zone, nearest latitude</t>
  </si>
  <si>
    <t>Sin(ZEN)</t>
  </si>
  <si>
    <t>Az(rad)</t>
  </si>
  <si>
    <t>Choose cloud location</t>
  </si>
  <si>
    <t>City</t>
  </si>
  <si>
    <t>Lat</t>
  </si>
  <si>
    <t>Long</t>
  </si>
  <si>
    <t>Birmingham, AL</t>
  </si>
  <si>
    <t>Mobile, AL</t>
  </si>
  <si>
    <t>Montgomery, AL</t>
  </si>
  <si>
    <t>Fort Smith, AR</t>
  </si>
  <si>
    <t>Little Rock, AR</t>
  </si>
  <si>
    <t>Flagstaff, AZ</t>
  </si>
  <si>
    <t>Phoenix, AZ</t>
  </si>
  <si>
    <t>Tuscon, AZ</t>
  </si>
  <si>
    <t>Yuma, AZ</t>
  </si>
  <si>
    <t>Blue Canyon, CA</t>
  </si>
  <si>
    <t>Eureka, CA</t>
  </si>
  <si>
    <t>Fresno, CA</t>
  </si>
  <si>
    <t>Los Angeles, CA</t>
  </si>
  <si>
    <t>Red Bluff, CA</t>
  </si>
  <si>
    <t>Sacramento, CA</t>
  </si>
  <si>
    <t>San Diego, CA</t>
  </si>
  <si>
    <t>San Francisco, CA</t>
  </si>
  <si>
    <t>Denver, CO</t>
  </si>
  <si>
    <t>Grand Junction, CO</t>
  </si>
  <si>
    <t>Pueblo, CO</t>
  </si>
  <si>
    <t>Hartford, CT</t>
  </si>
  <si>
    <t>New Haven, CT</t>
  </si>
  <si>
    <t>Washington, DC</t>
  </si>
  <si>
    <t>Apalachicola, FL</t>
  </si>
  <si>
    <t>Jacksonville, FL</t>
  </si>
  <si>
    <t>Key West, FL</t>
  </si>
  <si>
    <t>Miami, FL</t>
  </si>
  <si>
    <t>Pensacola, FL</t>
  </si>
  <si>
    <t>Tampa, FL</t>
  </si>
  <si>
    <t>Atlanta, GA</t>
  </si>
  <si>
    <t>Augusta, GA</t>
  </si>
  <si>
    <t>Macon, GA</t>
  </si>
  <si>
    <t>Savannah, GA</t>
  </si>
  <si>
    <t>Burlington, IA</t>
  </si>
  <si>
    <t>Des Moines, IA</t>
  </si>
  <si>
    <t>Dubuque, IA</t>
  </si>
  <si>
    <t>Sioux City, IA</t>
  </si>
  <si>
    <t>Boise, ID</t>
  </si>
  <si>
    <t>Lewiston, ID</t>
  </si>
  <si>
    <t>Pocatello, ID</t>
  </si>
  <si>
    <t>Cairo, IL</t>
  </si>
  <si>
    <t>Chicago, IL</t>
  </si>
  <si>
    <t>Moline, IL</t>
  </si>
  <si>
    <t>Peoria, IL</t>
  </si>
  <si>
    <t>Springfield, IL</t>
  </si>
  <si>
    <t>Evansville, IN</t>
  </si>
  <si>
    <t>Fort Wayne, IN</t>
  </si>
  <si>
    <t>Indianapolis, IN</t>
  </si>
  <si>
    <t>Terre Haute, IN</t>
  </si>
  <si>
    <t>Concordia, KS</t>
  </si>
  <si>
    <t>Dodge City, KS</t>
  </si>
  <si>
    <t>Goodland, KS</t>
  </si>
  <si>
    <t>Topeka, KS</t>
  </si>
  <si>
    <t>Wichita, KS</t>
  </si>
  <si>
    <t>Covington, KY</t>
  </si>
  <si>
    <t>Lexington, KY</t>
  </si>
  <si>
    <t>Louisville, KY</t>
  </si>
  <si>
    <t>Shreveport, LA</t>
  </si>
  <si>
    <t>New Orleans, LA</t>
  </si>
  <si>
    <t>Boston, MA</t>
  </si>
  <si>
    <t>Nantucket, MA</t>
  </si>
  <si>
    <t>Baltimore, MD</t>
  </si>
  <si>
    <t>Eastport, ME</t>
  </si>
  <si>
    <t>Portland, ME</t>
  </si>
  <si>
    <t>Alpena, MI</t>
  </si>
  <si>
    <t>Detroit, MI</t>
  </si>
  <si>
    <t>Escanaba, MI</t>
  </si>
  <si>
    <t>Grand Rapids, MI</t>
  </si>
  <si>
    <t>Lansing, MI</t>
  </si>
  <si>
    <t>Marquette, MI</t>
  </si>
  <si>
    <t>Sault Ste Marie, MI</t>
  </si>
  <si>
    <t>Duluth, MN</t>
  </si>
  <si>
    <t>Minneapolis, MN</t>
  </si>
  <si>
    <t>Rochester, MN</t>
  </si>
  <si>
    <t>Columbia, MO</t>
  </si>
  <si>
    <t>Kansas City, MO</t>
  </si>
  <si>
    <t>Springfield, MO</t>
  </si>
  <si>
    <t>St. Louis, MO</t>
  </si>
  <si>
    <t>Jackson, MS</t>
  </si>
  <si>
    <t>Meridan, MS</t>
  </si>
  <si>
    <t>Vicksburg, MS</t>
  </si>
  <si>
    <t>Billings, MT</t>
  </si>
  <si>
    <t>Great Falls, MT</t>
  </si>
  <si>
    <t>Harve, MT</t>
  </si>
  <si>
    <t>Helena, MT</t>
  </si>
  <si>
    <t>Kalispell, MT</t>
  </si>
  <si>
    <t>Miles City, MT</t>
  </si>
  <si>
    <t>Missoula, MT</t>
  </si>
  <si>
    <t>Asheville, NC</t>
  </si>
  <si>
    <t>Cape Hatteras, NC</t>
  </si>
  <si>
    <t>Charlotte, NC</t>
  </si>
  <si>
    <t>Greensboro, NC</t>
  </si>
  <si>
    <t>Raleigh/Durham, NC</t>
  </si>
  <si>
    <t>Wilmington, NC</t>
  </si>
  <si>
    <t>Bismarck, ND</t>
  </si>
  <si>
    <t>Devils Lake, ND</t>
  </si>
  <si>
    <t>Fargo, ND</t>
  </si>
  <si>
    <t>Williston, ND</t>
  </si>
  <si>
    <t>Grand Island, NE</t>
  </si>
  <si>
    <t>Lincoln, NE</t>
  </si>
  <si>
    <t>North Omaha, NE</t>
  </si>
  <si>
    <t>North Platte, NE</t>
  </si>
  <si>
    <t>Scottsbluff, NE</t>
  </si>
  <si>
    <t>Valentine, NE</t>
  </si>
  <si>
    <t>Concord, NH</t>
  </si>
  <si>
    <t>Mount Washington, NH</t>
  </si>
  <si>
    <t>Atlantic City, NJ</t>
  </si>
  <si>
    <t>Trenton, NJ</t>
  </si>
  <si>
    <t>Albuquerque, NM</t>
  </si>
  <si>
    <t>Roswell, NM</t>
  </si>
  <si>
    <t>Ely, NV</t>
  </si>
  <si>
    <t>Las Vegas, NV</t>
  </si>
  <si>
    <t>Reno, NV</t>
  </si>
  <si>
    <t>Winnemucca, NV</t>
  </si>
  <si>
    <t>Albany, NY</t>
  </si>
  <si>
    <t>Binghamton, NY</t>
  </si>
  <si>
    <t>Buffalo, NY</t>
  </si>
  <si>
    <t>New York City, NY</t>
  </si>
  <si>
    <t>Oswego, NY</t>
  </si>
  <si>
    <t>Rochester, NY</t>
  </si>
  <si>
    <t>Syracuse, NY</t>
  </si>
  <si>
    <t>Akron, OH</t>
  </si>
  <si>
    <t>Cleveland, OH</t>
  </si>
  <si>
    <t>Columbus, OH</t>
  </si>
  <si>
    <t>Dayton, OH</t>
  </si>
  <si>
    <t>Sandusky, OH</t>
  </si>
  <si>
    <t>Toledo, OH</t>
  </si>
  <si>
    <t>Oklahoma City, OK</t>
  </si>
  <si>
    <t>Tulsa, OK</t>
  </si>
  <si>
    <t>Baker City, OR</t>
  </si>
  <si>
    <t>Medford, OR</t>
  </si>
  <si>
    <t>Portland, OR</t>
  </si>
  <si>
    <t>Roseburg, OR</t>
  </si>
  <si>
    <t>Erie, PA</t>
  </si>
  <si>
    <t>Harrisburg, PA</t>
  </si>
  <si>
    <t>Philadelphia, PA</t>
  </si>
  <si>
    <t>Pittsburgh, PA</t>
  </si>
  <si>
    <t>Reading, PA</t>
  </si>
  <si>
    <t>Wilkes-Barre, PA</t>
  </si>
  <si>
    <t>Block Island, RI</t>
  </si>
  <si>
    <t>Providence, RI</t>
  </si>
  <si>
    <t>Charleston, SC</t>
  </si>
  <si>
    <t>Columbia, SC</t>
  </si>
  <si>
    <t>Greenville, SC</t>
  </si>
  <si>
    <t>Huron, SD</t>
  </si>
  <si>
    <t>Rapid City, SD</t>
  </si>
  <si>
    <t>Chattanooga, TN</t>
  </si>
  <si>
    <t>Knoxville, TN</t>
  </si>
  <si>
    <t>Memphis, TN</t>
  </si>
  <si>
    <t>Nashville, TN</t>
  </si>
  <si>
    <t>Abilene, TX</t>
  </si>
  <si>
    <t>Amarillo, TX</t>
  </si>
  <si>
    <t>Austin, TX</t>
  </si>
  <si>
    <t>Brownsville, TX</t>
  </si>
  <si>
    <t>Corpus Christi, TX</t>
  </si>
  <si>
    <t>Dallas, TX</t>
  </si>
  <si>
    <t>Del Rio, TX</t>
  </si>
  <si>
    <t>El Paso, TX</t>
  </si>
  <si>
    <t>Fort Worth, TX</t>
  </si>
  <si>
    <t>Galveston, TX</t>
  </si>
  <si>
    <t>Houston, TX</t>
  </si>
  <si>
    <t>Lubbock, TX</t>
  </si>
  <si>
    <t>Palestine, TX</t>
  </si>
  <si>
    <t>Port Arthur, TX</t>
  </si>
  <si>
    <t>San Antonio, TX</t>
  </si>
  <si>
    <t>Milford, UT</t>
  </si>
  <si>
    <t>Salt Lake City, UT</t>
  </si>
  <si>
    <t>Cape Henry, VA</t>
  </si>
  <si>
    <t>Lynchburg, VA</t>
  </si>
  <si>
    <t>Norfolk, VA</t>
  </si>
  <si>
    <t>Richmond, VA</t>
  </si>
  <si>
    <t>Burlington, VT</t>
  </si>
  <si>
    <t>North Head, WA</t>
  </si>
  <si>
    <t>Quillayute, WA</t>
  </si>
  <si>
    <t>Seattle, WA</t>
  </si>
  <si>
    <t>Spokane, WA</t>
  </si>
  <si>
    <t>Tacoma, WA</t>
  </si>
  <si>
    <t>Tatoosh Island, WA</t>
  </si>
  <si>
    <t>Walla Walla, WA</t>
  </si>
  <si>
    <t>Green Bay, WI</t>
  </si>
  <si>
    <t>La Crosse, WI</t>
  </si>
  <si>
    <t>Madison, WI</t>
  </si>
  <si>
    <t>Milwaukee, WI</t>
  </si>
  <si>
    <t>Elkins, WV</t>
  </si>
  <si>
    <t>Parkersburg, WV</t>
  </si>
  <si>
    <t>Cheyenne, WY</t>
  </si>
  <si>
    <t>Lander, WY</t>
  </si>
  <si>
    <t>Sheridan, WY</t>
  </si>
  <si>
    <t>Panel Azimuth, E of North</t>
  </si>
  <si>
    <t>deg</t>
  </si>
  <si>
    <t>Units</t>
  </si>
  <si>
    <t>Panel Tilt from Horizontal</t>
  </si>
  <si>
    <t>sq m</t>
  </si>
  <si>
    <t>decimal</t>
  </si>
  <si>
    <t>Midnight to 1 AM</t>
  </si>
  <si>
    <t>1 AM to 2 AM</t>
  </si>
  <si>
    <t>2 AM to 3 AM</t>
  </si>
  <si>
    <t>3 AM to 4 AM</t>
  </si>
  <si>
    <t>4 AM to 5 AM</t>
  </si>
  <si>
    <t>5 AM to 6 AM</t>
  </si>
  <si>
    <t>6 AM to 7 AM</t>
  </si>
  <si>
    <t>7 AM to 8 AM</t>
  </si>
  <si>
    <t>8 AM to 9 AM</t>
  </si>
  <si>
    <t>9 AM to 10 AM</t>
  </si>
  <si>
    <t>10 AM to 11 AM</t>
  </si>
  <si>
    <t>11 AM to noon</t>
  </si>
  <si>
    <t>noon to 1 PM</t>
  </si>
  <si>
    <t>1 PM to 2 PM</t>
  </si>
  <si>
    <t>2 PM to 3 PM</t>
  </si>
  <si>
    <t>3 PM to 4 PM</t>
  </si>
  <si>
    <t>4 PM to 5 PM</t>
  </si>
  <si>
    <t>5 PM to 6 PM</t>
  </si>
  <si>
    <t>6 PM to 7 PM</t>
  </si>
  <si>
    <t>7 PM to 8 PM</t>
  </si>
  <si>
    <t>8 PM to 9 PM</t>
  </si>
  <si>
    <t>9 PM to 10 PM</t>
  </si>
  <si>
    <t>10 PM to 11 PM</t>
  </si>
  <si>
    <t>11 PM to midnight</t>
  </si>
  <si>
    <t>Local time</t>
  </si>
  <si>
    <t>24-hr</t>
  </si>
  <si>
    <t>AZ, W</t>
  </si>
  <si>
    <t>ZEN, W</t>
  </si>
  <si>
    <t>AZ, Sp</t>
  </si>
  <si>
    <t>ZEN, Sp</t>
  </si>
  <si>
    <t>AZ, Su</t>
  </si>
  <si>
    <t>ZEN, Su</t>
  </si>
  <si>
    <t>AZ, F</t>
  </si>
  <si>
    <t>ZEN, F</t>
  </si>
  <si>
    <t>M 36 Santa Fe, NM</t>
  </si>
  <si>
    <t>Convert DEG:MIN:SEC to DEGREES</t>
  </si>
  <si>
    <t>Earth Rad (NM)</t>
  </si>
  <si>
    <t>DEG</t>
  </si>
  <si>
    <t>MIN</t>
  </si>
  <si>
    <t>SEC</t>
  </si>
  <si>
    <t>Observer Location</t>
  </si>
  <si>
    <t>del Lat</t>
  </si>
  <si>
    <t>del Long</t>
  </si>
  <si>
    <t>A</t>
  </si>
  <si>
    <t>delta</t>
  </si>
  <si>
    <t>Dist (NM)</t>
  </si>
  <si>
    <t>Latitude</t>
  </si>
  <si>
    <t>Longitude</t>
  </si>
  <si>
    <t>Result</t>
  </si>
  <si>
    <t>Minimum (NM)</t>
  </si>
  <si>
    <t>Closest Cloud Location</t>
  </si>
  <si>
    <t>Panel Total Area</t>
  </si>
  <si>
    <t>sq. ft</t>
  </si>
  <si>
    <t>sq. m</t>
  </si>
  <si>
    <t>Convert sq. ft. to sq. m.</t>
  </si>
  <si>
    <t>Symbol</t>
  </si>
  <si>
    <t>alpha</t>
  </si>
  <si>
    <t>epsilon</t>
  </si>
  <si>
    <t>rho</t>
  </si>
  <si>
    <t>theta</t>
  </si>
  <si>
    <t>cosine(epsilon)</t>
  </si>
  <si>
    <t>sin(epsilon)</t>
  </si>
  <si>
    <t>Cos(ZEN)</t>
  </si>
  <si>
    <t>rad</t>
  </si>
  <si>
    <t>Manufacturer</t>
  </si>
  <si>
    <t>Model</t>
  </si>
  <si>
    <t>Astronergy</t>
  </si>
  <si>
    <t>CHSM60M-HC Astro 6 590 Wp</t>
  </si>
  <si>
    <t>Area (sq m)</t>
  </si>
  <si>
    <t>CHSM60M-HC Astro 6 600 Wp</t>
  </si>
  <si>
    <t>CHSM60M-HC Astro 6 605 Wp</t>
  </si>
  <si>
    <t>CHSM60M-HC Astro 6 610 Wp</t>
  </si>
  <si>
    <t>CHSM60M-HC Astro 6 595Wp</t>
  </si>
  <si>
    <t>Note</t>
  </si>
  <si>
    <t>JA Solar</t>
  </si>
  <si>
    <t>JAM72S30-525/MR</t>
  </si>
  <si>
    <t>JAM72S30-530/MR</t>
  </si>
  <si>
    <t>JAM72S30-535/MR</t>
  </si>
  <si>
    <t>JAM72S30-540/MR</t>
  </si>
  <si>
    <t>JAM72S30-545/MR</t>
  </si>
  <si>
    <t>JAM72S30-550/MR</t>
  </si>
  <si>
    <t>1, 2</t>
  </si>
  <si>
    <t xml:space="preserve">1. Output power is at nominal operating conditions (NOCT): 800 W/m^2, 20 deg C ambient, 1 m/s wind. </t>
  </si>
  <si>
    <t>2. Area excludes the area of the mounting frame.</t>
  </si>
  <si>
    <t>ART Solar</t>
  </si>
  <si>
    <t>350 Wp Si-Mono PERC</t>
  </si>
  <si>
    <t>Trina Solar</t>
  </si>
  <si>
    <t>TSM-DEG15MC.20(II)-390</t>
  </si>
  <si>
    <t>TSM-DEG15MC.20(II)-395</t>
  </si>
  <si>
    <t>TSM-DEG15MC.20(II)-400</t>
  </si>
  <si>
    <t>TSM-DEG15MC.20(II)-405</t>
  </si>
  <si>
    <t>TSM-DEG15MC.20(II)-410</t>
  </si>
  <si>
    <t>TSM-DEG15MC.20(II)-415</t>
  </si>
  <si>
    <t>Jager Plus</t>
  </si>
  <si>
    <t>RSM144-6-395M</t>
  </si>
  <si>
    <t>RSM144-6-400M</t>
  </si>
  <si>
    <t>RSM144-6-405M</t>
  </si>
  <si>
    <t>RSM144-6-410M</t>
  </si>
  <si>
    <t>RSM144-6-415M</t>
  </si>
  <si>
    <t>RSM144-6-420M</t>
  </si>
  <si>
    <t>Vikram Solar</t>
  </si>
  <si>
    <t>Somera VSM H.78.475.05</t>
  </si>
  <si>
    <t>Somera VSM H.78.480.05</t>
  </si>
  <si>
    <t>Somera VSM H.78.485.05</t>
  </si>
  <si>
    <t>Somera VSM H.78.490.05</t>
  </si>
  <si>
    <t>Somera VSM H.78.495.05</t>
  </si>
  <si>
    <t>Somera VSM H.78.500.05</t>
  </si>
  <si>
    <t>Somera VSM H.78.505.05</t>
  </si>
  <si>
    <t>Hanwha Q CELLS</t>
  </si>
  <si>
    <t>Q.PEAK DUO BLK ML-G10+ 385</t>
  </si>
  <si>
    <t>Q.PEAK DUO BLK ML-G10+ 390</t>
  </si>
  <si>
    <t>Q.PEAK DUO BLK ML-G10+ 395</t>
  </si>
  <si>
    <t>Q.PEAK DUO BLK ML-G10+ 400</t>
  </si>
  <si>
    <t>Q.PEAK DUO BLK ML-G10+ 405</t>
  </si>
  <si>
    <t>LG Electronics</t>
  </si>
  <si>
    <t>LG380Q1C-V5</t>
  </si>
  <si>
    <t>LG375Q1C-V5</t>
  </si>
  <si>
    <t>LG370Q1C-V5</t>
  </si>
  <si>
    <t>LG365Q1C-V5</t>
  </si>
  <si>
    <t>3.  This is the NOTC efficiency, expressed here as a decimal as required by the model; multiply by 100 to obtain %.</t>
  </si>
  <si>
    <t>T_NOTC (K)</t>
  </si>
  <si>
    <t>e_NOTC [3]</t>
  </si>
  <si>
    <t>C_T [4]</t>
  </si>
  <si>
    <t>4. This is the thermal efficency coefficient for output power, per deg K</t>
  </si>
  <si>
    <t>MEAN</t>
  </si>
  <si>
    <t>STD DEV</t>
  </si>
  <si>
    <t>At 25 years</t>
  </si>
  <si>
    <t>Nominal Ambient Temp, Winter</t>
  </si>
  <si>
    <t>deg K</t>
  </si>
  <si>
    <t>Nominal Ambient Temp, Spring</t>
  </si>
  <si>
    <t>Nominal Ambient Temp, Summer</t>
  </si>
  <si>
    <t>Nominal Ambient Temp, Fall</t>
  </si>
  <si>
    <t>Power fraction after 25 years</t>
  </si>
  <si>
    <t>Average Daytime High Ambient (K)</t>
  </si>
  <si>
    <t>Ground Type, Winter</t>
  </si>
  <si>
    <t>Ground Type, Spring</t>
  </si>
  <si>
    <t>Ground Type, Summer</t>
  </si>
  <si>
    <t>Ground Type, Fall</t>
  </si>
  <si>
    <t>Beach Sand</t>
  </si>
  <si>
    <t>Chernozem Soil</t>
  </si>
  <si>
    <t>Concrete</t>
  </si>
  <si>
    <t>Conifer Meadow</t>
  </si>
  <si>
    <t>Douglas Fir Forest</t>
  </si>
  <si>
    <t>Laterite Soil</t>
  </si>
  <si>
    <t>Lava</t>
  </si>
  <si>
    <t>Leafy Spurge</t>
  </si>
  <si>
    <t>Maple Forest</t>
  </si>
  <si>
    <t>Marsh</t>
  </si>
  <si>
    <t>Oak Forest</t>
  </si>
  <si>
    <t>Pedalfer Soil 1</t>
  </si>
  <si>
    <t>Pedalfer Soil 2</t>
  </si>
  <si>
    <t>Pedocal Soil</t>
  </si>
  <si>
    <t>Pine Forest</t>
  </si>
  <si>
    <t>Populus Forest</t>
  </si>
  <si>
    <t>Rangeland Blue</t>
  </si>
  <si>
    <t>Rangeland Sage</t>
  </si>
  <si>
    <t>Sand</t>
  </si>
  <si>
    <t>Seawater Coastal</t>
  </si>
  <si>
    <t>Snow</t>
  </si>
  <si>
    <t>Ground Type</t>
  </si>
  <si>
    <t>Eff. Refl.</t>
  </si>
  <si>
    <t>Ground reflectance, Winter</t>
  </si>
  <si>
    <t>Ground reflectance, Spring</t>
  </si>
  <si>
    <t>Ground reflectance, Summer</t>
  </si>
  <si>
    <t>Ground reflectance, Fall</t>
  </si>
  <si>
    <t>COS(SIGMA)</t>
  </si>
  <si>
    <t>Zenith</t>
  </si>
  <si>
    <t>Indices for radiometry components</t>
  </si>
  <si>
    <t>Diffuse Sky Radiance for Location</t>
  </si>
  <si>
    <t>Cloud Radiance for Location</t>
  </si>
  <si>
    <t>1976 US Std (desert)</t>
  </si>
  <si>
    <t>MLW23R</t>
  </si>
  <si>
    <t>MLS23R</t>
  </si>
  <si>
    <t>Direct Solar Irradiance for Location</t>
  </si>
  <si>
    <t>Indices per location (cf. col. CX to DA)</t>
  </si>
  <si>
    <t>Direct Solar Irradiance From LOWTRAN7 (cf. radiometrics.xlsx, irrad_data)</t>
  </si>
  <si>
    <t>Diffuse sky radiance from LOWTRAN7 (cf. radiometrics.xlsx, sky_data)</t>
  </si>
  <si>
    <t>Cloud radiance from LOWTRAN7 (cf. radiometrics.xlsx, cloud_data)</t>
  </si>
  <si>
    <t>U Winter</t>
  </si>
  <si>
    <t>U Spring</t>
  </si>
  <si>
    <t>U Summer</t>
  </si>
  <si>
    <t>U Fall</t>
  </si>
  <si>
    <t>Arbitrated SIGMA (deg)</t>
  </si>
  <si>
    <t>Anti-reflection coating limit</t>
  </si>
  <si>
    <t>Arbitrated COS(SIGMA)</t>
  </si>
  <si>
    <t>Nominal Efficency, Winter</t>
  </si>
  <si>
    <t>Nominal Efficency, Summer</t>
  </si>
  <si>
    <t>Nominal Efficency, Spring</t>
  </si>
  <si>
    <t>Nominal Efficency, Fall</t>
  </si>
  <si>
    <t>Nominal Cloud Cover, Winter</t>
  </si>
  <si>
    <t>Nominal Cloud Cover, Spring</t>
  </si>
  <si>
    <t>Nominal Cloud Cover, Summer</t>
  </si>
  <si>
    <t>Nominal Cloud Cover, Fall</t>
  </si>
  <si>
    <t>Temperature Coefficient</t>
  </si>
  <si>
    <t>Constants</t>
  </si>
  <si>
    <t>Lab Temperature</t>
  </si>
  <si>
    <t>K</t>
  </si>
  <si>
    <t>Outputs</t>
  </si>
  <si>
    <t>Intermediate</t>
  </si>
  <si>
    <t xml:space="preserve">Directly Transmitted Solar Irradiance, W/sq m </t>
  </si>
  <si>
    <t xml:space="preserve">Diffuse Sky Radiance, W/(sr-sq m) </t>
  </si>
  <si>
    <t xml:space="preserve">Diffuse Cloud Radiance, W/(sr-sq m) </t>
  </si>
  <si>
    <t>Omega_S</t>
  </si>
  <si>
    <t>Omega_G</t>
  </si>
  <si>
    <t>sr</t>
  </si>
  <si>
    <t>Omega_T</t>
  </si>
  <si>
    <t>AR coating limit</t>
  </si>
  <si>
    <t>Gamma</t>
  </si>
  <si>
    <t>k</t>
  </si>
  <si>
    <t>scaled e</t>
  </si>
  <si>
    <t>USS70S</t>
  </si>
  <si>
    <t>Sky</t>
  </si>
  <si>
    <t>Cloud</t>
  </si>
  <si>
    <t>MLS</t>
  </si>
  <si>
    <t>MLW</t>
  </si>
  <si>
    <t>Scaled efficiencies for sky &amp; cloud</t>
  </si>
  <si>
    <t>L_GD: radiance fm reflected direct irr, W/(sr-m^2)</t>
  </si>
  <si>
    <t>L_GS: radiance fm reflected sky rad., W/(sr-m^2)</t>
  </si>
  <si>
    <t>L_GC: radiance fm reflected cloud rad., W/(sr-m^2)</t>
  </si>
  <si>
    <t xml:space="preserve">P_G: Power from Ground Reflections, W-hr </t>
  </si>
  <si>
    <t xml:space="preserve">P_DC: Power from Diffuse Cloud Radiance, W-hr </t>
  </si>
  <si>
    <t>P_DS: Power from Diffuse Sky Radiance, W -hr</t>
  </si>
  <si>
    <t>P_D: Pwr, Directly Transmitted Solar Irr, W-hr</t>
  </si>
  <si>
    <t>Total</t>
  </si>
  <si>
    <t>Power generated in Winter</t>
  </si>
  <si>
    <t>Power generated in Spring</t>
  </si>
  <si>
    <t>Power generated in Summer</t>
  </si>
  <si>
    <t>Power generated in Fall</t>
  </si>
  <si>
    <t>$</t>
  </si>
  <si>
    <t>Value of power per season, $</t>
  </si>
  <si>
    <t>Dollar Value over 25 years</t>
  </si>
  <si>
    <t>DC-AC Conversion efficiency</t>
  </si>
  <si>
    <t>Total power, 25 years</t>
  </si>
  <si>
    <t>Installation cost</t>
  </si>
  <si>
    <t>beta</t>
  </si>
  <si>
    <t>e_TC</t>
  </si>
  <si>
    <t>A_p</t>
  </si>
  <si>
    <t>C_T</t>
  </si>
  <si>
    <t>Total Initial Annual Value</t>
  </si>
  <si>
    <t>Year End</t>
  </si>
  <si>
    <t>Avg cost per kW-hr, 25 years</t>
  </si>
  <si>
    <t>%/100</t>
  </si>
  <si>
    <r>
      <t xml:space="preserve">%/100 </t>
    </r>
    <r>
      <rPr>
        <sz val="11"/>
        <color theme="1"/>
        <rFont val="Calibri"/>
        <family val="2"/>
      </rPr>
      <t>°</t>
    </r>
    <r>
      <rPr>
        <sz val="11"/>
        <color theme="1"/>
        <rFont val="Calibri"/>
        <family val="2"/>
        <scheme val="minor"/>
      </rPr>
      <t>K</t>
    </r>
  </si>
  <si>
    <t>Annual Electricity Escalation Rate</t>
  </si>
  <si>
    <t>Inputs</t>
  </si>
  <si>
    <t>Initial Value, Winter Season</t>
  </si>
  <si>
    <t>Initial Value, Spring Season</t>
  </si>
  <si>
    <t>Initial Value, Summer Season</t>
  </si>
  <si>
    <t>Initial Value, Fall Season</t>
  </si>
  <si>
    <t>m (slope of temporal degradation)</t>
  </si>
  <si>
    <t>In Year</t>
  </si>
  <si>
    <t>C_S, Sp</t>
  </si>
  <si>
    <t>C_S, Su</t>
  </si>
  <si>
    <t>C_S, F</t>
  </si>
  <si>
    <t>C_S, W</t>
  </si>
  <si>
    <t>C_A</t>
  </si>
  <si>
    <t>Totals</t>
  </si>
  <si>
    <t>C_C</t>
  </si>
  <si>
    <t>T_AMB</t>
  </si>
  <si>
    <t>Total solid angle of solar panel</t>
  </si>
  <si>
    <t>Ground angle within solid angle</t>
  </si>
  <si>
    <t>Ground solid angle</t>
  </si>
  <si>
    <t>Sky solid angle</t>
  </si>
  <si>
    <t>e_RS</t>
  </si>
  <si>
    <t>e_RC</t>
  </si>
  <si>
    <t>Sky efficiency, Winter/Fall</t>
  </si>
  <si>
    <t>Sky efficiency, Spring/Summer</t>
  </si>
  <si>
    <t>Cloud efficiency, Winter/Fall</t>
  </si>
  <si>
    <t>Cloud efficiency, Spring/Summer</t>
  </si>
  <si>
    <t>Ground fraction of total solid angle</t>
  </si>
  <si>
    <t>Monthly</t>
  </si>
  <si>
    <t>P_A</t>
  </si>
  <si>
    <t>P_T</t>
  </si>
  <si>
    <t>Cost Avoidance by Year</t>
  </si>
  <si>
    <t>Location</t>
  </si>
  <si>
    <t>Fractional cloud cover</t>
  </si>
  <si>
    <t>P_HS, Average Hourly Power per Season, kW-hr</t>
  </si>
  <si>
    <t>Cost Avoided</t>
  </si>
  <si>
    <t>Initial cost</t>
  </si>
  <si>
    <t>Total Initial Annual Power</t>
  </si>
  <si>
    <t>Clear Sky DNI</t>
  </si>
  <si>
    <t>CSDNI *
(1-Cld)</t>
  </si>
  <si>
    <t>Annual</t>
  </si>
  <si>
    <t>W-hr/sq m</t>
  </si>
  <si>
    <t>DC Output (W)</t>
  </si>
  <si>
    <t>Panel Efficiency, NOCT</t>
  </si>
  <si>
    <t>Cloud Test Case</t>
  </si>
  <si>
    <t>Section 1</t>
  </si>
  <si>
    <t>Section 2</t>
  </si>
  <si>
    <r>
      <rPr>
        <b/>
        <sz val="11"/>
        <color rgb="FFFF0000"/>
        <rFont val="Calibri"/>
        <family val="2"/>
        <scheme val="minor"/>
      </rPr>
      <t>Section 3</t>
    </r>
    <r>
      <rPr>
        <b/>
        <sz val="11"/>
        <color theme="1"/>
        <rFont val="Calibri"/>
        <family val="2"/>
        <scheme val="minor"/>
      </rPr>
      <t>: Closest Cloud Location</t>
    </r>
  </si>
  <si>
    <t>Panel Active Area (sq m)</t>
  </si>
  <si>
    <t>NOCT efficiency</t>
  </si>
  <si>
    <t>Section 5</t>
  </si>
  <si>
    <t>NOCT defined input (W/sq m)</t>
  </si>
  <si>
    <t>Calculate NOCT efficiency from datasheet values</t>
  </si>
  <si>
    <t>NOCT power output (W)</t>
  </si>
  <si>
    <t>No.</t>
  </si>
  <si>
    <t>Notice</t>
  </si>
  <si>
    <t>No part of this book may be copied, reproduced, or transmitted by any means, or stored in or transmitted by a storage and retrieval system, without written permission from the publisher.</t>
  </si>
  <si>
    <t>- EXCEPT -</t>
  </si>
  <si>
    <t>1. Permission is hereby granted for: a) individuals to store and transmit to other individuals for personal use, and b) educational institutions to store and transmit to other institutions for educational purposes, both without restriction, so long as the entire work is so stored and transmitted.</t>
  </si>
  <si>
    <t>2. Not for commercial use.</t>
  </si>
  <si>
    <t>3. Permission is hereby granted to extract quotes and Figures as desired for personal or educational uses, with attribution.</t>
  </si>
  <si>
    <t>The Estimator was developed and coded by Edward D. Duvall.</t>
  </si>
  <si>
    <r>
      <t xml:space="preserve">The Estimator is documented in: Edward D. Duvall, </t>
    </r>
    <r>
      <rPr>
        <i/>
        <sz val="11"/>
        <color theme="1"/>
        <rFont val="Calibri"/>
        <family val="2"/>
        <scheme val="minor"/>
      </rPr>
      <t>A Solar Energy Estimator</t>
    </r>
    <r>
      <rPr>
        <sz val="11"/>
        <color theme="1"/>
        <rFont val="Calibri"/>
        <family val="2"/>
        <scheme val="minor"/>
      </rPr>
      <t>, Queen Creek, AZ: Fremont Valley Books LLC, 2002
ISBN = 978-0-9845773-4-7</t>
    </r>
  </si>
  <si>
    <t>Both the Estimator and documentation are available for free download at: https://fremontvalleybooks.com</t>
  </si>
  <si>
    <r>
      <rPr>
        <b/>
        <sz val="11"/>
        <color rgb="FFFF0000"/>
        <rFont val="Calibri"/>
        <family val="2"/>
        <scheme val="minor"/>
      </rPr>
      <t xml:space="preserve">Section 4: </t>
    </r>
    <r>
      <rPr>
        <b/>
        <sz val="11"/>
        <color theme="1"/>
        <rFont val="Calibri"/>
        <family val="2"/>
        <scheme val="minor"/>
      </rPr>
      <t>Example Solar Panel Data, NOCT (NMOT), AM1.5 conditions (800 W/sq m)</t>
    </r>
  </si>
  <si>
    <t>3.2</t>
  </si>
  <si>
    <t>3.1</t>
  </si>
  <si>
    <t>Ref:  3.3</t>
  </si>
  <si>
    <t>3.4</t>
  </si>
  <si>
    <t>3.5</t>
  </si>
  <si>
    <t>3.6</t>
  </si>
  <si>
    <t>3.7</t>
  </si>
  <si>
    <t>3.8</t>
  </si>
  <si>
    <t>3.9</t>
  </si>
  <si>
    <t>3.10</t>
  </si>
  <si>
    <t>3.11</t>
  </si>
  <si>
    <t>3.12</t>
  </si>
  <si>
    <t>5.2</t>
  </si>
  <si>
    <t>5.3</t>
  </si>
  <si>
    <t>5.4</t>
  </si>
  <si>
    <t>5.8</t>
  </si>
  <si>
    <t>5.9</t>
  </si>
  <si>
    <t>5.10</t>
  </si>
  <si>
    <t>5.13</t>
  </si>
  <si>
    <t>5.12</t>
  </si>
  <si>
    <t>7.2</t>
  </si>
  <si>
    <t>7.6</t>
  </si>
  <si>
    <t>7.8</t>
  </si>
  <si>
    <t>7.9</t>
  </si>
  <si>
    <t>7.10</t>
  </si>
  <si>
    <t>7.11</t>
  </si>
  <si>
    <t>Electricity Cost per kWh, dollars</t>
  </si>
  <si>
    <t>kWh</t>
  </si>
  <si>
    <t>kWh/sq m</t>
  </si>
  <si>
    <t>Solar Energy Estimator, Version 1.0, 26 Mar 2022</t>
  </si>
</sst>
</file>

<file path=xl/styles.xml><?xml version="1.0" encoding="utf-8"?>
<styleSheet xmlns="http://schemas.openxmlformats.org/spreadsheetml/2006/main">
  <numFmts count="5">
    <numFmt numFmtId="164" formatCode="0.0"/>
    <numFmt numFmtId="165" formatCode="0.00000"/>
    <numFmt numFmtId="166" formatCode="0.000"/>
    <numFmt numFmtId="167" formatCode="0.000000"/>
    <numFmt numFmtId="168" formatCode="0.0000"/>
  </numFmts>
  <fonts count="8">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1"/>
      <color theme="1"/>
      <name val="Calibri"/>
      <family val="2"/>
    </font>
    <font>
      <b/>
      <sz val="11"/>
      <color rgb="FFFF0000"/>
      <name val="Calibri"/>
      <family val="2"/>
      <scheme val="minor"/>
    </font>
    <font>
      <sz val="12"/>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CC99"/>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7">
    <xf numFmtId="0" fontId="0" fillId="0" borderId="0" xfId="0"/>
    <xf numFmtId="0" fontId="0" fillId="0" borderId="0" xfId="0" applyAlignment="1">
      <alignment horizontal="center"/>
    </xf>
    <xf numFmtId="0" fontId="0" fillId="0" borderId="0" xfId="0" applyAlignment="1"/>
    <xf numFmtId="0" fontId="0" fillId="2" borderId="0" xfId="0" applyFill="1"/>
    <xf numFmtId="0" fontId="0" fillId="0" borderId="0" xfId="0" applyAlignment="1">
      <alignment horizontal="center"/>
    </xf>
    <xf numFmtId="2" fontId="0" fillId="0" borderId="0" xfId="0" applyNumberFormat="1"/>
    <xf numFmtId="2" fontId="0" fillId="0" borderId="0" xfId="0" applyNumberFormat="1" applyAlignment="1">
      <alignment horizontal="center"/>
    </xf>
    <xf numFmtId="164" fontId="0" fillId="0" borderId="0" xfId="0" applyNumberFormat="1"/>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Fill="1"/>
    <xf numFmtId="0" fontId="0" fillId="0" borderId="1" xfId="0" applyBorder="1" applyAlignment="1">
      <alignment horizontal="center"/>
    </xf>
    <xf numFmtId="0" fontId="0" fillId="0" borderId="1" xfId="0" applyBorder="1"/>
    <xf numFmtId="0" fontId="1" fillId="0" borderId="1" xfId="0" applyFont="1" applyBorder="1" applyAlignment="1">
      <alignment horizontal="center"/>
    </xf>
    <xf numFmtId="0" fontId="2" fillId="0" borderId="1" xfId="0" applyFont="1" applyBorder="1"/>
    <xf numFmtId="0" fontId="2" fillId="2" borderId="1" xfId="0" applyFont="1" applyFill="1" applyBorder="1"/>
    <xf numFmtId="0" fontId="0" fillId="2" borderId="1" xfId="0" applyFill="1" applyBorder="1"/>
    <xf numFmtId="0" fontId="0" fillId="0" borderId="1" xfId="0" applyFill="1" applyBorder="1"/>
    <xf numFmtId="166" fontId="0" fillId="0" borderId="1" xfId="0" applyNumberFormat="1" applyBorder="1" applyAlignment="1">
      <alignment horizontal="right" indent="1"/>
    </xf>
    <xf numFmtId="165" fontId="0" fillId="0" borderId="1" xfId="0" applyNumberFormat="1" applyBorder="1" applyAlignment="1">
      <alignment horizontal="right" indent="1"/>
    </xf>
    <xf numFmtId="165" fontId="0" fillId="0" borderId="1" xfId="0" applyNumberFormat="1" applyFill="1" applyBorder="1" applyAlignment="1">
      <alignment horizontal="right" indent="1"/>
    </xf>
    <xf numFmtId="0" fontId="1" fillId="0" borderId="0" xfId="0" applyFont="1" applyAlignment="1">
      <alignment horizontal="center"/>
    </xf>
    <xf numFmtId="0" fontId="0" fillId="0" borderId="0" xfId="0"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applyAlignment="1">
      <alignment horizontal="center"/>
    </xf>
    <xf numFmtId="0" fontId="0" fillId="0" borderId="8" xfId="0" applyBorder="1"/>
    <xf numFmtId="0" fontId="1" fillId="0" borderId="3" xfId="0" applyFont="1" applyBorder="1" applyAlignment="1">
      <alignment vertical="center" textRotation="90"/>
    </xf>
    <xf numFmtId="0" fontId="1" fillId="0" borderId="1" xfId="0" applyFont="1" applyFill="1" applyBorder="1" applyAlignment="1">
      <alignment horizontal="center"/>
    </xf>
    <xf numFmtId="0" fontId="3" fillId="0" borderId="3" xfId="0" applyFont="1" applyBorder="1" applyAlignment="1">
      <alignment horizontal="center" vertical="center"/>
    </xf>
    <xf numFmtId="165" fontId="0" fillId="0" borderId="1" xfId="0" applyNumberFormat="1" applyBorder="1"/>
    <xf numFmtId="167" fontId="0" fillId="0" borderId="1" xfId="0" applyNumberFormat="1" applyBorder="1"/>
    <xf numFmtId="2" fontId="0" fillId="0" borderId="1" xfId="0" applyNumberFormat="1" applyBorder="1"/>
    <xf numFmtId="0" fontId="0" fillId="0" borderId="0" xfId="0" applyFill="1" applyBorder="1"/>
    <xf numFmtId="165" fontId="0" fillId="0" borderId="0" xfId="0" applyNumberFormat="1"/>
    <xf numFmtId="0" fontId="0" fillId="0" borderId="0" xfId="0" applyBorder="1"/>
    <xf numFmtId="165" fontId="0" fillId="0" borderId="1" xfId="0" applyNumberFormat="1" applyFill="1" applyBorder="1"/>
    <xf numFmtId="0" fontId="0" fillId="0" borderId="9" xfId="0" applyBorder="1"/>
    <xf numFmtId="0" fontId="0" fillId="0" borderId="10" xfId="0" applyBorder="1"/>
    <xf numFmtId="0" fontId="0" fillId="0" borderId="11" xfId="0" applyBorder="1"/>
    <xf numFmtId="165" fontId="0" fillId="0" borderId="0" xfId="0" applyNumberFormat="1" applyFill="1" applyBorder="1"/>
    <xf numFmtId="166" fontId="0" fillId="0" borderId="0" xfId="0" applyNumberFormat="1" applyFill="1" applyBorder="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left"/>
    </xf>
    <xf numFmtId="0" fontId="0" fillId="2" borderId="1" xfId="0" applyFill="1" applyBorder="1" applyAlignment="1">
      <alignment horizontal="left"/>
    </xf>
    <xf numFmtId="0" fontId="0" fillId="0" borderId="1" xfId="0" applyFill="1" applyBorder="1" applyAlignment="1">
      <alignment horizontal="left"/>
    </xf>
    <xf numFmtId="0" fontId="0" fillId="0" borderId="0" xfId="0" applyFill="1" applyBorder="1" applyAlignment="1">
      <alignment horizontal="left"/>
    </xf>
    <xf numFmtId="0" fontId="1" fillId="0" borderId="12" xfId="0" applyFont="1" applyBorder="1" applyAlignment="1">
      <alignment horizontal="center"/>
    </xf>
    <xf numFmtId="0" fontId="1" fillId="0" borderId="13" xfId="0" applyFont="1" applyBorder="1" applyAlignment="1">
      <alignment horizontal="center"/>
    </xf>
    <xf numFmtId="0" fontId="0" fillId="0" borderId="12" xfId="0" applyBorder="1"/>
    <xf numFmtId="0" fontId="0" fillId="0" borderId="14" xfId="0" applyBorder="1"/>
    <xf numFmtId="0" fontId="0" fillId="0" borderId="15" xfId="0" applyBorder="1" applyAlignment="1">
      <alignment horizontal="center"/>
    </xf>
    <xf numFmtId="0" fontId="1" fillId="0" borderId="0" xfId="0" applyFont="1"/>
    <xf numFmtId="0" fontId="1" fillId="0" borderId="0" xfId="0" applyFont="1" applyAlignment="1">
      <alignment horizontal="center"/>
    </xf>
    <xf numFmtId="0" fontId="1" fillId="0" borderId="0" xfId="0" applyFont="1" applyFill="1" applyBorder="1" applyAlignment="1">
      <alignment horizontal="center"/>
    </xf>
    <xf numFmtId="2" fontId="0" fillId="0" borderId="0" xfId="0" applyNumberFormat="1" applyBorder="1"/>
    <xf numFmtId="0" fontId="0" fillId="0" borderId="0" xfId="0" applyBorder="1" applyAlignment="1">
      <alignment horizontal="center"/>
    </xf>
    <xf numFmtId="0" fontId="0" fillId="0" borderId="0" xfId="0" applyBorder="1" applyAlignment="1">
      <alignment horizontal="right"/>
    </xf>
    <xf numFmtId="166" fontId="0" fillId="3" borderId="0" xfId="0" applyNumberFormat="1" applyFill="1" applyBorder="1" applyAlignment="1">
      <alignment horizontal="center"/>
    </xf>
    <xf numFmtId="2" fontId="0" fillId="3" borderId="0" xfId="0" applyNumberFormat="1" applyFill="1" applyBorder="1" applyAlignment="1">
      <alignment horizontal="center"/>
    </xf>
    <xf numFmtId="168" fontId="0" fillId="3" borderId="0" xfId="0" applyNumberFormat="1" applyFill="1" applyBorder="1" applyAlignment="1">
      <alignment horizontal="center"/>
    </xf>
    <xf numFmtId="0" fontId="1" fillId="0" borderId="19" xfId="0" applyFont="1" applyFill="1" applyBorder="1" applyAlignment="1">
      <alignment horizontal="center"/>
    </xf>
    <xf numFmtId="0" fontId="1" fillId="0" borderId="20" xfId="0" applyFont="1" applyFill="1" applyBorder="1" applyAlignment="1">
      <alignment horizontal="center"/>
    </xf>
    <xf numFmtId="0" fontId="1" fillId="0" borderId="23" xfId="0" applyFont="1" applyFill="1" applyBorder="1" applyAlignment="1">
      <alignment horizontal="center"/>
    </xf>
    <xf numFmtId="0" fontId="1" fillId="0" borderId="21" xfId="0" applyFont="1" applyFill="1" applyBorder="1" applyAlignment="1">
      <alignment horizontal="center"/>
    </xf>
    <xf numFmtId="164" fontId="0" fillId="0" borderId="0" xfId="0" applyNumberFormat="1" applyBorder="1" applyAlignment="1">
      <alignment horizontal="center"/>
    </xf>
    <xf numFmtId="166" fontId="0" fillId="0" borderId="0" xfId="0" applyNumberFormat="1" applyBorder="1" applyAlignment="1">
      <alignment horizontal="center"/>
    </xf>
    <xf numFmtId="2" fontId="0" fillId="0" borderId="0" xfId="0" applyNumberFormat="1" applyBorder="1" applyAlignment="1">
      <alignment horizontal="center"/>
    </xf>
    <xf numFmtId="168" fontId="0" fillId="0" borderId="0" xfId="0" applyNumberFormat="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166" fontId="0" fillId="0" borderId="0" xfId="0" applyNumberFormat="1" applyFill="1" applyBorder="1" applyAlignment="1">
      <alignment horizontal="center"/>
    </xf>
    <xf numFmtId="2" fontId="0" fillId="0" borderId="0" xfId="0" applyNumberFormat="1" applyFill="1" applyBorder="1" applyAlignment="1">
      <alignment horizontal="center"/>
    </xf>
    <xf numFmtId="168" fontId="0" fillId="0" borderId="0" xfId="0" applyNumberFormat="1" applyFill="1"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4" fontId="0" fillId="0" borderId="24" xfId="0" applyNumberFormat="1" applyBorder="1" applyAlignment="1">
      <alignment horizontal="center"/>
    </xf>
    <xf numFmtId="166" fontId="0" fillId="0" borderId="24" xfId="0" applyNumberFormat="1" applyBorder="1" applyAlignment="1">
      <alignment horizontal="center"/>
    </xf>
    <xf numFmtId="2" fontId="0" fillId="0" borderId="24" xfId="0" applyNumberFormat="1" applyBorder="1" applyAlignment="1">
      <alignment horizontal="center"/>
    </xf>
    <xf numFmtId="168" fontId="0" fillId="0" borderId="24" xfId="0" applyNumberFormat="1" applyBorder="1" applyAlignment="1">
      <alignment horizontal="center"/>
    </xf>
    <xf numFmtId="0" fontId="0" fillId="0" borderId="25" xfId="0" applyBorder="1" applyAlignment="1">
      <alignment horizontal="center"/>
    </xf>
    <xf numFmtId="0" fontId="0" fillId="0" borderId="22" xfId="0" applyBorder="1"/>
    <xf numFmtId="0" fontId="0" fillId="0" borderId="3" xfId="0" applyBorder="1" applyAlignment="1">
      <alignment horizontal="center"/>
    </xf>
    <xf numFmtId="0" fontId="0" fillId="0" borderId="22" xfId="0" applyFill="1" applyBorder="1"/>
    <xf numFmtId="0" fontId="0" fillId="0" borderId="3" xfId="0" applyBorder="1"/>
    <xf numFmtId="0" fontId="0" fillId="0" borderId="26" xfId="0" applyBorder="1"/>
    <xf numFmtId="0" fontId="0" fillId="0" borderId="2" xfId="0" applyBorder="1"/>
    <xf numFmtId="0" fontId="0" fillId="0" borderId="2" xfId="0" applyBorder="1" applyAlignment="1">
      <alignment horizontal="right"/>
    </xf>
    <xf numFmtId="166" fontId="0" fillId="3" borderId="2" xfId="0" applyNumberFormat="1" applyFill="1" applyBorder="1" applyAlignment="1">
      <alignment horizontal="center"/>
    </xf>
    <xf numFmtId="2" fontId="0" fillId="3" borderId="2" xfId="0" applyNumberFormat="1" applyFill="1" applyBorder="1" applyAlignment="1">
      <alignment horizontal="center"/>
    </xf>
    <xf numFmtId="165" fontId="0" fillId="3" borderId="2" xfId="0" applyNumberFormat="1" applyFill="1" applyBorder="1" applyAlignment="1">
      <alignment horizontal="center"/>
    </xf>
    <xf numFmtId="168" fontId="0" fillId="3" borderId="2" xfId="0" applyNumberFormat="1" applyFill="1" applyBorder="1" applyAlignment="1">
      <alignment horizontal="center"/>
    </xf>
    <xf numFmtId="0" fontId="0" fillId="0" borderId="27" xfId="0" applyBorder="1"/>
    <xf numFmtId="2" fontId="0" fillId="0" borderId="1" xfId="0" applyNumberFormat="1" applyBorder="1" applyAlignment="1">
      <alignment horizontal="right" indent="1"/>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1" fontId="0" fillId="0" borderId="0" xfId="0" applyNumberFormat="1" applyBorder="1" applyAlignment="1">
      <alignment horizontal="right"/>
    </xf>
    <xf numFmtId="166" fontId="0" fillId="0" borderId="0" xfId="0" applyNumberFormat="1"/>
    <xf numFmtId="0" fontId="1" fillId="0" borderId="1" xfId="0" applyFont="1" applyBorder="1" applyAlignment="1">
      <alignment horizontal="center"/>
    </xf>
    <xf numFmtId="168" fontId="0" fillId="0" borderId="0" xfId="0" applyNumberFormat="1"/>
    <xf numFmtId="0" fontId="0" fillId="4" borderId="0" xfId="0" applyFill="1" applyAlignment="1">
      <alignment horizontal="center"/>
    </xf>
    <xf numFmtId="2" fontId="0" fillId="4" borderId="0" xfId="0" applyNumberFormat="1" applyFill="1" applyAlignment="1">
      <alignment horizontal="center"/>
    </xf>
    <xf numFmtId="166" fontId="0" fillId="4" borderId="0" xfId="0" applyNumberFormat="1" applyFill="1" applyAlignment="1">
      <alignment horizontal="center"/>
    </xf>
    <xf numFmtId="0" fontId="1" fillId="0" borderId="0" xfId="0" applyFont="1" applyAlignment="1"/>
    <xf numFmtId="2" fontId="0" fillId="4" borderId="0" xfId="0" applyNumberFormat="1" applyFill="1"/>
    <xf numFmtId="2" fontId="0" fillId="0" borderId="0" xfId="0" applyNumberFormat="1" applyFill="1" applyAlignment="1">
      <alignment horizontal="center"/>
    </xf>
    <xf numFmtId="1" fontId="0" fillId="0" borderId="0" xfId="0" applyNumberFormat="1" applyAlignment="1">
      <alignment horizontal="right" indent="1"/>
    </xf>
    <xf numFmtId="164" fontId="0" fillId="0" borderId="0" xfId="0" applyNumberFormat="1" applyFill="1"/>
    <xf numFmtId="166" fontId="0" fillId="0" borderId="0" xfId="0" applyNumberFormat="1" applyFill="1" applyAlignment="1">
      <alignment horizontal="center"/>
    </xf>
    <xf numFmtId="168" fontId="0" fillId="4" borderId="0" xfId="0" applyNumberFormat="1" applyFill="1" applyAlignment="1">
      <alignment horizontal="center"/>
    </xf>
    <xf numFmtId="1" fontId="0" fillId="0" borderId="0" xfId="0" applyNumberFormat="1" applyFill="1" applyBorder="1" applyAlignment="1">
      <alignment horizontal="right"/>
    </xf>
    <xf numFmtId="49" fontId="0" fillId="0" borderId="0" xfId="0" applyNumberFormat="1"/>
    <xf numFmtId="0" fontId="1" fillId="0" borderId="7" xfId="0" applyFont="1" applyBorder="1"/>
    <xf numFmtId="0" fontId="1" fillId="0" borderId="8" xfId="0" applyFont="1" applyBorder="1" applyAlignment="1">
      <alignment horizontal="center"/>
    </xf>
    <xf numFmtId="0" fontId="1" fillId="0" borderId="7" xfId="0" applyFont="1" applyFill="1" applyBorder="1"/>
    <xf numFmtId="0" fontId="0" fillId="5" borderId="0" xfId="0" applyFill="1" applyBorder="1" applyAlignment="1">
      <alignment horizontal="center"/>
    </xf>
    <xf numFmtId="0" fontId="0" fillId="0" borderId="7" xfId="0" applyFill="1" applyBorder="1"/>
    <xf numFmtId="0" fontId="0" fillId="0" borderId="9" xfId="0" applyFill="1" applyBorder="1"/>
    <xf numFmtId="2" fontId="0" fillId="0" borderId="10" xfId="0" applyNumberFormat="1" applyFill="1" applyBorder="1" applyAlignment="1">
      <alignment horizontal="center"/>
    </xf>
    <xf numFmtId="0" fontId="0" fillId="0" borderId="10" xfId="0" applyFill="1" applyBorder="1"/>
    <xf numFmtId="164" fontId="0" fillId="4" borderId="0" xfId="0" applyNumberFormat="1" applyFill="1" applyBorder="1" applyAlignment="1">
      <alignment horizontal="right"/>
    </xf>
    <xf numFmtId="2" fontId="0" fillId="4" borderId="0" xfId="0" applyNumberFormat="1" applyFill="1" applyBorder="1" applyAlignment="1">
      <alignment horizontal="right"/>
    </xf>
    <xf numFmtId="2" fontId="0" fillId="4" borderId="8" xfId="0" applyNumberFormat="1" applyFill="1" applyBorder="1"/>
    <xf numFmtId="164" fontId="0" fillId="4" borderId="0" xfId="0" applyNumberFormat="1" applyFill="1" applyBorder="1"/>
    <xf numFmtId="0" fontId="1" fillId="0" borderId="29" xfId="0" applyFont="1" applyBorder="1" applyAlignment="1">
      <alignment horizontal="center"/>
    </xf>
    <xf numFmtId="0" fontId="0" fillId="0" borderId="29" xfId="0" applyBorder="1"/>
    <xf numFmtId="0" fontId="1" fillId="0" borderId="29" xfId="0" applyFont="1" applyBorder="1"/>
    <xf numFmtId="0" fontId="1" fillId="0" borderId="30" xfId="0" applyFont="1" applyBorder="1"/>
    <xf numFmtId="0" fontId="0" fillId="0" borderId="10" xfId="0" applyBorder="1" applyAlignment="1">
      <alignment horizontal="center"/>
    </xf>
    <xf numFmtId="165" fontId="0" fillId="4" borderId="1" xfId="0" applyNumberFormat="1" applyFill="1" applyBorder="1"/>
    <xf numFmtId="166" fontId="0" fillId="4" borderId="1" xfId="0" applyNumberFormat="1" applyFill="1" applyBorder="1"/>
    <xf numFmtId="166" fontId="0" fillId="4" borderId="10" xfId="0" applyNumberFormat="1" applyFill="1" applyBorder="1"/>
    <xf numFmtId="0" fontId="1" fillId="0" borderId="0" xfId="0" applyFont="1" applyAlignment="1">
      <alignment horizontal="center"/>
    </xf>
    <xf numFmtId="0" fontId="1" fillId="0" borderId="0" xfId="0" applyFont="1" applyFill="1"/>
    <xf numFmtId="2" fontId="0" fillId="0" borderId="0" xfId="0" applyNumberFormat="1" applyFill="1"/>
    <xf numFmtId="0" fontId="0" fillId="0" borderId="0" xfId="0" applyAlignment="1">
      <alignment horizontal="center"/>
    </xf>
    <xf numFmtId="166" fontId="0" fillId="4" borderId="0" xfId="0" applyNumberFormat="1" applyFill="1" applyBorder="1"/>
    <xf numFmtId="2" fontId="0" fillId="5" borderId="0" xfId="0" applyNumberFormat="1" applyFill="1" applyBorder="1"/>
    <xf numFmtId="0" fontId="0" fillId="3" borderId="0" xfId="0" applyFill="1" applyBorder="1" applyProtection="1">
      <protection locked="0"/>
    </xf>
    <xf numFmtId="0" fontId="0" fillId="3" borderId="0" xfId="0"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8" fontId="0" fillId="3" borderId="0"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31" xfId="0" applyFill="1" applyBorder="1" applyAlignment="1" applyProtection="1">
      <alignment horizontal="center"/>
      <protection locked="0"/>
    </xf>
    <xf numFmtId="166" fontId="0" fillId="3" borderId="1" xfId="0" applyNumberFormat="1" applyFill="1" applyBorder="1" applyAlignment="1" applyProtection="1">
      <alignment horizontal="right" indent="1"/>
      <protection locked="0"/>
    </xf>
    <xf numFmtId="165" fontId="0" fillId="5" borderId="1" xfId="0" applyNumberFormat="1" applyFill="1" applyBorder="1" applyAlignment="1">
      <alignment horizontal="right" indent="1"/>
    </xf>
    <xf numFmtId="0" fontId="0" fillId="5" borderId="1" xfId="0" applyFill="1" applyBorder="1" applyAlignment="1">
      <alignment horizontal="right" indent="1"/>
    </xf>
    <xf numFmtId="0" fontId="0" fillId="3" borderId="1" xfId="0" applyFill="1" applyBorder="1" applyProtection="1">
      <protection locked="0"/>
    </xf>
    <xf numFmtId="2" fontId="0" fillId="3" borderId="0" xfId="0" applyNumberFormat="1" applyFill="1" applyBorder="1" applyProtection="1">
      <protection locked="0"/>
    </xf>
    <xf numFmtId="166" fontId="0" fillId="3" borderId="0" xfId="0" applyNumberFormat="1" applyFill="1" applyBorder="1" applyProtection="1">
      <protection locked="0"/>
    </xf>
    <xf numFmtId="0" fontId="0" fillId="0" borderId="0" xfId="0" applyAlignment="1">
      <alignment vertical="top" wrapText="1"/>
    </xf>
    <xf numFmtId="0" fontId="0" fillId="0" borderId="0" xfId="0" applyAlignment="1">
      <alignment horizontal="center" vertical="top" wrapText="1"/>
    </xf>
    <xf numFmtId="0" fontId="1" fillId="0" borderId="1" xfId="0" applyFont="1" applyBorder="1" applyAlignment="1" applyProtection="1">
      <alignment horizontal="center"/>
    </xf>
    <xf numFmtId="0" fontId="6" fillId="0" borderId="0" xfId="0" applyFont="1" applyAlignment="1" applyProtection="1">
      <alignment horizontal="justify"/>
    </xf>
    <xf numFmtId="0" fontId="6" fillId="0" borderId="0" xfId="0" applyFont="1" applyAlignment="1" applyProtection="1">
      <alignment horizontal="center"/>
    </xf>
    <xf numFmtId="0" fontId="0" fillId="0" borderId="0" xfId="0" applyAlignment="1" applyProtection="1">
      <alignment horizontal="center" vertical="top" wrapText="1"/>
    </xf>
    <xf numFmtId="0" fontId="0" fillId="0" borderId="0" xfId="0" applyAlignment="1" applyProtection="1">
      <alignment vertical="top" wrapText="1"/>
    </xf>
    <xf numFmtId="49" fontId="0" fillId="0" borderId="0" xfId="0" applyNumberFormat="1" applyAlignment="1">
      <alignment horizontal="center"/>
    </xf>
    <xf numFmtId="0" fontId="1" fillId="0" borderId="1" xfId="0" applyFont="1" applyBorder="1" applyAlignment="1">
      <alignment horizontal="center"/>
    </xf>
    <xf numFmtId="0" fontId="0" fillId="0" borderId="0" xfId="0" applyBorder="1" applyAlignment="1">
      <alignment horizontal="center"/>
    </xf>
    <xf numFmtId="0" fontId="1" fillId="0" borderId="0" xfId="0" applyFont="1" applyAlignment="1">
      <alignment horizontal="center"/>
    </xf>
    <xf numFmtId="0" fontId="1" fillId="0" borderId="0" xfId="0" applyFont="1" applyFill="1"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center" wrapText="1"/>
    </xf>
    <xf numFmtId="0" fontId="1" fillId="0" borderId="2" xfId="0" applyFont="1" applyBorder="1" applyAlignment="1">
      <alignment horizontal="center"/>
    </xf>
    <xf numFmtId="0" fontId="1" fillId="0" borderId="28" xfId="0" applyFont="1" applyFill="1" applyBorder="1" applyAlignment="1">
      <alignment horizontal="center"/>
    </xf>
    <xf numFmtId="0" fontId="1" fillId="0" borderId="29" xfId="0" applyFont="1" applyFill="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26" xfId="0" applyBorder="1" applyAlignment="1">
      <alignment horizontal="left"/>
    </xf>
    <xf numFmtId="0" fontId="0" fillId="0" borderId="2" xfId="0" applyBorder="1" applyAlignment="1">
      <alignment horizontal="left"/>
    </xf>
    <xf numFmtId="0" fontId="0" fillId="0" borderId="27" xfId="0" applyBorder="1" applyAlignment="1">
      <alignment horizontal="left"/>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0" fillId="0" borderId="22" xfId="0" applyBorder="1" applyAlignment="1">
      <alignment horizontal="left"/>
    </xf>
    <xf numFmtId="0" fontId="0" fillId="0" borderId="3"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0" fillId="0" borderId="0" xfId="0" applyAlignment="1">
      <alignment horizontal="left"/>
    </xf>
    <xf numFmtId="0" fontId="0" fillId="0" borderId="0" xfId="0" applyFont="1" applyAlignment="1" applyProtection="1">
      <alignment horizontal="center" vertical="center" wrapText="1"/>
    </xf>
  </cellXfs>
  <cellStyles count="1">
    <cellStyle name="Normal" xfId="0" builtinId="0"/>
  </cellStyles>
  <dxfs count="1">
    <dxf>
      <font>
        <condense val="0"/>
        <extend val="0"/>
        <color rgb="FF9C0006"/>
      </font>
      <fill>
        <patternFill>
          <bgColor rgb="FFFFC7CE"/>
        </patternFill>
      </fill>
    </dxf>
  </dxfs>
  <tableStyles count="0" defaultTableStyle="TableStyleMedium9" defaultPivotStyle="PivotStyleLight16"/>
  <colors>
    <mruColors>
      <color rgb="FFFFFFCC"/>
      <color rgb="FFFFCC99"/>
      <color rgb="FFCCFFCC"/>
    </mruColors>
  </colors>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sharedStrings" Target="sharedStrings.xml"/><Relationship Id="rId10" Type="http://schemas.openxmlformats.org/officeDocument/2006/relationships/chartsheet" Target="chartsheets/sheet7.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Winter,</a:t>
            </a:r>
            <a:r>
              <a:rPr lang="en-US" baseline="0"/>
              <a:t> Eastern</a:t>
            </a:r>
            <a:endParaRPr lang="en-US"/>
          </a:p>
        </c:rich>
      </c:tx>
    </c:title>
    <c:plotArea>
      <c:layout/>
      <c:scatterChart>
        <c:scatterStyle val="lineMarker"/>
        <c:ser>
          <c:idx val="0"/>
          <c:order val="0"/>
          <c:tx>
            <c:strRef>
              <c:f>Estimator!$AP$39</c:f>
              <c:strCache>
                <c:ptCount val="1"/>
                <c:pt idx="0">
                  <c:v>AZ 25</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Estimator!$AP$40:$AP$63</c:f>
              <c:numCache>
                <c:formatCode>0.00</c:formatCode>
                <c:ptCount val="24"/>
                <c:pt idx="0">
                  <c:v>353.2</c:v>
                </c:pt>
                <c:pt idx="1">
                  <c:v>56.6</c:v>
                </c:pt>
                <c:pt idx="2">
                  <c:v>76.41</c:v>
                </c:pt>
                <c:pt idx="3">
                  <c:v>85.91</c:v>
                </c:pt>
                <c:pt idx="4">
                  <c:v>92.6</c:v>
                </c:pt>
                <c:pt idx="5">
                  <c:v>98.44</c:v>
                </c:pt>
                <c:pt idx="6">
                  <c:v>104.28</c:v>
                </c:pt>
                <c:pt idx="7">
                  <c:v>110.71</c:v>
                </c:pt>
                <c:pt idx="8">
                  <c:v>118.35</c:v>
                </c:pt>
                <c:pt idx="9">
                  <c:v>128.01</c:v>
                </c:pt>
                <c:pt idx="10">
                  <c:v>140.79</c:v>
                </c:pt>
                <c:pt idx="11">
                  <c:v>157.72</c:v>
                </c:pt>
                <c:pt idx="12">
                  <c:v>178.31</c:v>
                </c:pt>
                <c:pt idx="13">
                  <c:v>199.25</c:v>
                </c:pt>
                <c:pt idx="14">
                  <c:v>216.88</c:v>
                </c:pt>
                <c:pt idx="15">
                  <c:v>230.28</c:v>
                </c:pt>
                <c:pt idx="16">
                  <c:v>240.38</c:v>
                </c:pt>
                <c:pt idx="17">
                  <c:v>248.3</c:v>
                </c:pt>
                <c:pt idx="18">
                  <c:v>254.9</c:v>
                </c:pt>
                <c:pt idx="19">
                  <c:v>260.55</c:v>
                </c:pt>
                <c:pt idx="20">
                  <c:v>266.36</c:v>
                </c:pt>
                <c:pt idx="21">
                  <c:v>269.45</c:v>
                </c:pt>
                <c:pt idx="22">
                  <c:v>281.68</c:v>
                </c:pt>
                <c:pt idx="23">
                  <c:v>298.75</c:v>
                </c:pt>
              </c:numCache>
            </c:numRef>
          </c:yVal>
        </c:ser>
        <c:ser>
          <c:idx val="1"/>
          <c:order val="1"/>
          <c:tx>
            <c:strRef>
              <c:f>Estimator!$AQ$39</c:f>
              <c:strCache>
                <c:ptCount val="1"/>
                <c:pt idx="0">
                  <c:v>ZEN 25</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Estimator!$AQ$40:$AQ$63</c:f>
              <c:numCache>
                <c:formatCode>0.00</c:formatCode>
                <c:ptCount val="24"/>
                <c:pt idx="0">
                  <c:v>170.55</c:v>
                </c:pt>
                <c:pt idx="1">
                  <c:v>164.07</c:v>
                </c:pt>
                <c:pt idx="2">
                  <c:v>151.59</c:v>
                </c:pt>
                <c:pt idx="3">
                  <c:v>138.19999999999999</c:v>
                </c:pt>
                <c:pt idx="4">
                  <c:v>124.72</c:v>
                </c:pt>
                <c:pt idx="5">
                  <c:v>111.27</c:v>
                </c:pt>
                <c:pt idx="6">
                  <c:v>98.02</c:v>
                </c:pt>
                <c:pt idx="7">
                  <c:v>85.14</c:v>
                </c:pt>
                <c:pt idx="8">
                  <c:v>72.83</c:v>
                </c:pt>
                <c:pt idx="9">
                  <c:v>61.82</c:v>
                </c:pt>
                <c:pt idx="10">
                  <c:v>51.83</c:v>
                </c:pt>
                <c:pt idx="11">
                  <c:v>44.9</c:v>
                </c:pt>
                <c:pt idx="12">
                  <c:v>42.02</c:v>
                </c:pt>
                <c:pt idx="13">
                  <c:v>44.16</c:v>
                </c:pt>
                <c:pt idx="14">
                  <c:v>50.52</c:v>
                </c:pt>
                <c:pt idx="15">
                  <c:v>59.83</c:v>
                </c:pt>
                <c:pt idx="16">
                  <c:v>70.930000000000007</c:v>
                </c:pt>
                <c:pt idx="17">
                  <c:v>83.1</c:v>
                </c:pt>
                <c:pt idx="18">
                  <c:v>95.93</c:v>
                </c:pt>
                <c:pt idx="19">
                  <c:v>109.26</c:v>
                </c:pt>
                <c:pt idx="20">
                  <c:v>122.66</c:v>
                </c:pt>
                <c:pt idx="21">
                  <c:v>129.43</c:v>
                </c:pt>
                <c:pt idx="22">
                  <c:v>149.55000000000001</c:v>
                </c:pt>
                <c:pt idx="23">
                  <c:v>162.25</c:v>
                </c:pt>
              </c:numCache>
            </c:numRef>
          </c:yVal>
        </c:ser>
        <c:ser>
          <c:idx val="2"/>
          <c:order val="2"/>
          <c:tx>
            <c:strRef>
              <c:f>Estimator!$AR$39</c:f>
              <c:strCache>
                <c:ptCount val="1"/>
                <c:pt idx="0">
                  <c:v>AZ 30</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Estimator!$AR$40:$AR$63</c:f>
              <c:numCache>
                <c:formatCode>0.00</c:formatCode>
                <c:ptCount val="24"/>
                <c:pt idx="0">
                  <c:v>349.66</c:v>
                </c:pt>
                <c:pt idx="1">
                  <c:v>41.73</c:v>
                </c:pt>
                <c:pt idx="2">
                  <c:v>66.95</c:v>
                </c:pt>
                <c:pt idx="3">
                  <c:v>79.87</c:v>
                </c:pt>
                <c:pt idx="4">
                  <c:v>88.66</c:v>
                </c:pt>
                <c:pt idx="5">
                  <c:v>95.96</c:v>
                </c:pt>
                <c:pt idx="6">
                  <c:v>102.92</c:v>
                </c:pt>
                <c:pt idx="7">
                  <c:v>110.25</c:v>
                </c:pt>
                <c:pt idx="8">
                  <c:v>118.6</c:v>
                </c:pt>
                <c:pt idx="9">
                  <c:v>128.72</c:v>
                </c:pt>
                <c:pt idx="10">
                  <c:v>141.46</c:v>
                </c:pt>
                <c:pt idx="11">
                  <c:v>157.54</c:v>
                </c:pt>
                <c:pt idx="12">
                  <c:v>176.51</c:v>
                </c:pt>
                <c:pt idx="13">
                  <c:v>196.04</c:v>
                </c:pt>
                <c:pt idx="14">
                  <c:v>213.3</c:v>
                </c:pt>
                <c:pt idx="15">
                  <c:v>227.19</c:v>
                </c:pt>
                <c:pt idx="16">
                  <c:v>238.16</c:v>
                </c:pt>
                <c:pt idx="17">
                  <c:v>247.06</c:v>
                </c:pt>
                <c:pt idx="18">
                  <c:v>254.7</c:v>
                </c:pt>
                <c:pt idx="19">
                  <c:v>261.48</c:v>
                </c:pt>
                <c:pt idx="20">
                  <c:v>268.58</c:v>
                </c:pt>
                <c:pt idx="21">
                  <c:v>272.42</c:v>
                </c:pt>
                <c:pt idx="22">
                  <c:v>287.66000000000003</c:v>
                </c:pt>
                <c:pt idx="23">
                  <c:v>306.95999999999998</c:v>
                </c:pt>
              </c:numCache>
            </c:numRef>
          </c:yVal>
        </c:ser>
        <c:ser>
          <c:idx val="3"/>
          <c:order val="3"/>
          <c:tx>
            <c:strRef>
              <c:f>Estimator!$AS$39</c:f>
              <c:strCache>
                <c:ptCount val="1"/>
                <c:pt idx="0">
                  <c:v>ZEN 30</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Estimator!$AS$40:$AS$63</c:f>
              <c:numCache>
                <c:formatCode>0.00</c:formatCode>
                <c:ptCount val="24"/>
                <c:pt idx="0">
                  <c:v>165.82</c:v>
                </c:pt>
                <c:pt idx="1">
                  <c:v>162.04</c:v>
                </c:pt>
                <c:pt idx="2">
                  <c:v>151.36000000000001</c:v>
                </c:pt>
                <c:pt idx="3">
                  <c:v>138.91999999999999</c:v>
                </c:pt>
                <c:pt idx="4">
                  <c:v>126.05</c:v>
                </c:pt>
                <c:pt idx="5">
                  <c:v>113.14</c:v>
                </c:pt>
                <c:pt idx="6">
                  <c:v>100.35</c:v>
                </c:pt>
                <c:pt idx="7">
                  <c:v>87.96</c:v>
                </c:pt>
                <c:pt idx="8">
                  <c:v>76.14</c:v>
                </c:pt>
                <c:pt idx="9">
                  <c:v>65.37</c:v>
                </c:pt>
                <c:pt idx="10">
                  <c:v>56.1</c:v>
                </c:pt>
                <c:pt idx="11">
                  <c:v>49.7</c:v>
                </c:pt>
                <c:pt idx="12">
                  <c:v>46.65</c:v>
                </c:pt>
                <c:pt idx="13">
                  <c:v>48.08</c:v>
                </c:pt>
                <c:pt idx="14">
                  <c:v>53.48</c:v>
                </c:pt>
                <c:pt idx="15">
                  <c:v>61.88</c:v>
                </c:pt>
                <c:pt idx="16">
                  <c:v>72.16</c:v>
                </c:pt>
                <c:pt idx="17">
                  <c:v>83.6</c:v>
                </c:pt>
                <c:pt idx="18">
                  <c:v>95.88</c:v>
                </c:pt>
                <c:pt idx="19">
                  <c:v>108.68</c:v>
                </c:pt>
                <c:pt idx="20">
                  <c:v>121.54</c:v>
                </c:pt>
                <c:pt idx="21">
                  <c:v>128.04</c:v>
                </c:pt>
                <c:pt idx="22">
                  <c:v>147.13</c:v>
                </c:pt>
                <c:pt idx="23">
                  <c:v>158.68</c:v>
                </c:pt>
              </c:numCache>
            </c:numRef>
          </c:yVal>
        </c:ser>
        <c:ser>
          <c:idx val="4"/>
          <c:order val="4"/>
          <c:tx>
            <c:strRef>
              <c:f>Estimator!$AT$39</c:f>
              <c:strCache>
                <c:ptCount val="1"/>
                <c:pt idx="0">
                  <c:v>AZ 35</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Estimator!$AT$40:$AT$63</c:f>
              <c:numCache>
                <c:formatCode>0.00</c:formatCode>
                <c:ptCount val="24"/>
                <c:pt idx="0">
                  <c:v>354.64</c:v>
                </c:pt>
                <c:pt idx="1">
                  <c:v>35.409999999999997</c:v>
                </c:pt>
                <c:pt idx="2">
                  <c:v>60.43</c:v>
                </c:pt>
                <c:pt idx="3">
                  <c:v>75.22</c:v>
                </c:pt>
                <c:pt idx="4">
                  <c:v>85.67</c:v>
                </c:pt>
                <c:pt idx="5">
                  <c:v>94.34</c:v>
                </c:pt>
                <c:pt idx="6">
                  <c:v>102.46</c:v>
                </c:pt>
                <c:pt idx="7">
                  <c:v>110.82</c:v>
                </c:pt>
                <c:pt idx="8">
                  <c:v>120.1</c:v>
                </c:pt>
                <c:pt idx="9">
                  <c:v>130.96</c:v>
                </c:pt>
                <c:pt idx="10">
                  <c:v>144.09</c:v>
                </c:pt>
                <c:pt idx="11">
                  <c:v>159.88</c:v>
                </c:pt>
                <c:pt idx="12">
                  <c:v>177.77</c:v>
                </c:pt>
                <c:pt idx="13">
                  <c:v>195.93</c:v>
                </c:pt>
                <c:pt idx="14">
                  <c:v>212.35</c:v>
                </c:pt>
                <c:pt idx="15">
                  <c:v>226.14</c:v>
                </c:pt>
                <c:pt idx="16">
                  <c:v>237.52</c:v>
                </c:pt>
                <c:pt idx="17">
                  <c:v>247.13</c:v>
                </c:pt>
                <c:pt idx="18">
                  <c:v>255.68</c:v>
                </c:pt>
                <c:pt idx="19">
                  <c:v>263.58</c:v>
                </c:pt>
                <c:pt idx="20">
                  <c:v>272.04000000000002</c:v>
                </c:pt>
                <c:pt idx="21">
                  <c:v>276.7</c:v>
                </c:pt>
                <c:pt idx="22">
                  <c:v>295.31</c:v>
                </c:pt>
                <c:pt idx="23">
                  <c:v>317.12</c:v>
                </c:pt>
              </c:numCache>
            </c:numRef>
          </c:yVal>
        </c:ser>
        <c:ser>
          <c:idx val="5"/>
          <c:order val="5"/>
          <c:tx>
            <c:strRef>
              <c:f>Estimator!$AU$39</c:f>
              <c:strCache>
                <c:ptCount val="1"/>
                <c:pt idx="0">
                  <c:v>ZEN 35</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Estimator!$AU$40:$AU$63</c:f>
              <c:numCache>
                <c:formatCode>0.00</c:formatCode>
                <c:ptCount val="24"/>
                <c:pt idx="0">
                  <c:v>161.07</c:v>
                </c:pt>
                <c:pt idx="1">
                  <c:v>157.80000000000001</c:v>
                </c:pt>
                <c:pt idx="2">
                  <c:v>148.30000000000001</c:v>
                </c:pt>
                <c:pt idx="3">
                  <c:v>137.21</c:v>
                </c:pt>
                <c:pt idx="4">
                  <c:v>125.02</c:v>
                </c:pt>
                <c:pt idx="5">
                  <c:v>112.86</c:v>
                </c:pt>
                <c:pt idx="6">
                  <c:v>100.76</c:v>
                </c:pt>
                <c:pt idx="7">
                  <c:v>89.04</c:v>
                </c:pt>
                <c:pt idx="8">
                  <c:v>77.989999999999995</c:v>
                </c:pt>
                <c:pt idx="9">
                  <c:v>67.900000000000006</c:v>
                </c:pt>
                <c:pt idx="10">
                  <c:v>59.69</c:v>
                </c:pt>
                <c:pt idx="11">
                  <c:v>53.87</c:v>
                </c:pt>
                <c:pt idx="12">
                  <c:v>51.44</c:v>
                </c:pt>
                <c:pt idx="13">
                  <c:v>52.95</c:v>
                </c:pt>
                <c:pt idx="14">
                  <c:v>57.97</c:v>
                </c:pt>
                <c:pt idx="15">
                  <c:v>65.7</c:v>
                </c:pt>
                <c:pt idx="16">
                  <c:v>75.08</c:v>
                </c:pt>
                <c:pt idx="17">
                  <c:v>86.19</c:v>
                </c:pt>
                <c:pt idx="18">
                  <c:v>97.8</c:v>
                </c:pt>
                <c:pt idx="19">
                  <c:v>110.01</c:v>
                </c:pt>
                <c:pt idx="20">
                  <c:v>122.21</c:v>
                </c:pt>
                <c:pt idx="21">
                  <c:v>128.27000000000001</c:v>
                </c:pt>
                <c:pt idx="22">
                  <c:v>145.6</c:v>
                </c:pt>
                <c:pt idx="23">
                  <c:v>155.91999999999999</c:v>
                </c:pt>
              </c:numCache>
            </c:numRef>
          </c:yVal>
        </c:ser>
        <c:ser>
          <c:idx val="6"/>
          <c:order val="6"/>
          <c:tx>
            <c:strRef>
              <c:f>Estimator!$AV$39</c:f>
              <c:strCache>
                <c:ptCount val="1"/>
                <c:pt idx="0">
                  <c:v>AZ 40</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Estimator!$AV$40:$AV$63</c:f>
              <c:numCache>
                <c:formatCode>0.00</c:formatCode>
                <c:ptCount val="24"/>
                <c:pt idx="0">
                  <c:v>350.62</c:v>
                </c:pt>
                <c:pt idx="1">
                  <c:v>25.29</c:v>
                </c:pt>
                <c:pt idx="2">
                  <c:v>51.24</c:v>
                </c:pt>
                <c:pt idx="3">
                  <c:v>68.400000000000006</c:v>
                </c:pt>
                <c:pt idx="4">
                  <c:v>80.790000000000006</c:v>
                </c:pt>
                <c:pt idx="5">
                  <c:v>90.94</c:v>
                </c:pt>
                <c:pt idx="6">
                  <c:v>100.22</c:v>
                </c:pt>
                <c:pt idx="7">
                  <c:v>109.48</c:v>
                </c:pt>
                <c:pt idx="8">
                  <c:v>119.39</c:v>
                </c:pt>
                <c:pt idx="9">
                  <c:v>130.57</c:v>
                </c:pt>
                <c:pt idx="10">
                  <c:v>143.56</c:v>
                </c:pt>
                <c:pt idx="11">
                  <c:v>158.65</c:v>
                </c:pt>
                <c:pt idx="12">
                  <c:v>175.44</c:v>
                </c:pt>
                <c:pt idx="13">
                  <c:v>192.65</c:v>
                </c:pt>
                <c:pt idx="14">
                  <c:v>208.75</c:v>
                </c:pt>
                <c:pt idx="15">
                  <c:v>222.87</c:v>
                </c:pt>
                <c:pt idx="16">
                  <c:v>234.97</c:v>
                </c:pt>
                <c:pt idx="17">
                  <c:v>245.5</c:v>
                </c:pt>
                <c:pt idx="18">
                  <c:v>255.05</c:v>
                </c:pt>
                <c:pt idx="19">
                  <c:v>264.02999999999997</c:v>
                </c:pt>
                <c:pt idx="20">
                  <c:v>273.60000000000002</c:v>
                </c:pt>
                <c:pt idx="21">
                  <c:v>278.83999999999997</c:v>
                </c:pt>
                <c:pt idx="22">
                  <c:v>298.87</c:v>
                </c:pt>
                <c:pt idx="23">
                  <c:v>319.69</c:v>
                </c:pt>
              </c:numCache>
            </c:numRef>
          </c:yVal>
        </c:ser>
        <c:ser>
          <c:idx val="7"/>
          <c:order val="7"/>
          <c:tx>
            <c:strRef>
              <c:f>Estimator!$AW$39</c:f>
              <c:strCache>
                <c:ptCount val="1"/>
                <c:pt idx="0">
                  <c:v>ZEN 40</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Estimator!$AW$40:$AW$63</c:f>
              <c:numCache>
                <c:formatCode>0.00</c:formatCode>
                <c:ptCount val="24"/>
                <c:pt idx="0">
                  <c:v>156.15</c:v>
                </c:pt>
                <c:pt idx="1">
                  <c:v>154.5</c:v>
                </c:pt>
                <c:pt idx="2">
                  <c:v>147.29</c:v>
                </c:pt>
                <c:pt idx="3">
                  <c:v>137.32</c:v>
                </c:pt>
                <c:pt idx="4">
                  <c:v>126.29</c:v>
                </c:pt>
                <c:pt idx="5">
                  <c:v>114.78</c:v>
                </c:pt>
                <c:pt idx="6">
                  <c:v>103.36</c:v>
                </c:pt>
                <c:pt idx="7">
                  <c:v>92.27</c:v>
                </c:pt>
                <c:pt idx="8">
                  <c:v>81.81</c:v>
                </c:pt>
                <c:pt idx="9">
                  <c:v>72.39</c:v>
                </c:pt>
                <c:pt idx="10">
                  <c:v>64.540000000000006</c:v>
                </c:pt>
                <c:pt idx="11">
                  <c:v>58.95</c:v>
                </c:pt>
                <c:pt idx="12">
                  <c:v>56.35</c:v>
                </c:pt>
                <c:pt idx="13">
                  <c:v>56.9</c:v>
                </c:pt>
                <c:pt idx="14">
                  <c:v>61.22</c:v>
                </c:pt>
                <c:pt idx="15">
                  <c:v>67.930000000000007</c:v>
                </c:pt>
                <c:pt idx="16">
                  <c:v>76.599999999999994</c:v>
                </c:pt>
                <c:pt idx="17">
                  <c:v>86.57</c:v>
                </c:pt>
                <c:pt idx="18">
                  <c:v>97.34</c:v>
                </c:pt>
                <c:pt idx="19">
                  <c:v>108.85</c:v>
                </c:pt>
                <c:pt idx="20">
                  <c:v>120.33</c:v>
                </c:pt>
                <c:pt idx="21">
                  <c:v>125.98</c:v>
                </c:pt>
                <c:pt idx="22">
                  <c:v>142.28</c:v>
                </c:pt>
                <c:pt idx="23">
                  <c:v>151.13</c:v>
                </c:pt>
              </c:numCache>
            </c:numRef>
          </c:yVal>
        </c:ser>
        <c:ser>
          <c:idx val="8"/>
          <c:order val="8"/>
          <c:tx>
            <c:strRef>
              <c:f>Estimator!$AX$39</c:f>
              <c:strCache>
                <c:ptCount val="1"/>
                <c:pt idx="0">
                  <c:v>AZ 42</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Estimator!$AX$40:$AX$63</c:f>
              <c:numCache>
                <c:formatCode>0.00</c:formatCode>
                <c:ptCount val="24"/>
                <c:pt idx="0">
                  <c:v>0.38</c:v>
                </c:pt>
                <c:pt idx="1">
                  <c:v>30.66</c:v>
                </c:pt>
                <c:pt idx="2">
                  <c:v>53.4</c:v>
                </c:pt>
                <c:pt idx="3">
                  <c:v>69.52</c:v>
                </c:pt>
                <c:pt idx="4">
                  <c:v>81.88</c:v>
                </c:pt>
                <c:pt idx="5">
                  <c:v>92.39</c:v>
                </c:pt>
                <c:pt idx="6">
                  <c:v>102.21</c:v>
                </c:pt>
                <c:pt idx="7">
                  <c:v>112.12</c:v>
                </c:pt>
                <c:pt idx="8">
                  <c:v>122.74</c:v>
                </c:pt>
                <c:pt idx="9">
                  <c:v>134.65</c:v>
                </c:pt>
                <c:pt idx="10">
                  <c:v>148.25</c:v>
                </c:pt>
                <c:pt idx="11">
                  <c:v>163.63</c:v>
                </c:pt>
                <c:pt idx="12">
                  <c:v>180.18</c:v>
                </c:pt>
                <c:pt idx="13">
                  <c:v>196.73</c:v>
                </c:pt>
                <c:pt idx="14">
                  <c:v>212.09</c:v>
                </c:pt>
                <c:pt idx="15">
                  <c:v>225.67</c:v>
                </c:pt>
                <c:pt idx="16">
                  <c:v>237.57</c:v>
                </c:pt>
                <c:pt idx="17">
                  <c:v>248.19</c:v>
                </c:pt>
                <c:pt idx="18">
                  <c:v>258.12</c:v>
                </c:pt>
                <c:pt idx="19">
                  <c:v>267.75</c:v>
                </c:pt>
                <c:pt idx="20">
                  <c:v>278.3</c:v>
                </c:pt>
                <c:pt idx="21">
                  <c:v>284.19</c:v>
                </c:pt>
                <c:pt idx="22">
                  <c:v>307</c:v>
                </c:pt>
                <c:pt idx="23">
                  <c:v>329.96</c:v>
                </c:pt>
              </c:numCache>
            </c:numRef>
          </c:yVal>
        </c:ser>
        <c:ser>
          <c:idx val="9"/>
          <c:order val="9"/>
          <c:tx>
            <c:strRef>
              <c:f>Estimator!$AY$39</c:f>
              <c:strCache>
                <c:ptCount val="1"/>
                <c:pt idx="0">
                  <c:v>ZEN 42</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Estimator!$AY$40:$AY$63</c:f>
              <c:numCache>
                <c:formatCode>0.00</c:formatCode>
                <c:ptCount val="24"/>
                <c:pt idx="0">
                  <c:v>153.52000000000001</c:v>
                </c:pt>
                <c:pt idx="1">
                  <c:v>150.49</c:v>
                </c:pt>
                <c:pt idx="2">
                  <c:v>143.04</c:v>
                </c:pt>
                <c:pt idx="3">
                  <c:v>133.4</c:v>
                </c:pt>
                <c:pt idx="4">
                  <c:v>122.77</c:v>
                </c:pt>
                <c:pt idx="5">
                  <c:v>111.78</c:v>
                </c:pt>
                <c:pt idx="6">
                  <c:v>100.92</c:v>
                </c:pt>
                <c:pt idx="7">
                  <c:v>90.4</c:v>
                </c:pt>
                <c:pt idx="8">
                  <c:v>80.650000000000006</c:v>
                </c:pt>
                <c:pt idx="9">
                  <c:v>72.05</c:v>
                </c:pt>
                <c:pt idx="10">
                  <c:v>65.209999999999994</c:v>
                </c:pt>
                <c:pt idx="11">
                  <c:v>60.65</c:v>
                </c:pt>
                <c:pt idx="12">
                  <c:v>59.12</c:v>
                </c:pt>
                <c:pt idx="13">
                  <c:v>60.72</c:v>
                </c:pt>
                <c:pt idx="14">
                  <c:v>65.260000000000005</c:v>
                </c:pt>
                <c:pt idx="15">
                  <c:v>72.16</c:v>
                </c:pt>
                <c:pt idx="16">
                  <c:v>80.77</c:v>
                </c:pt>
                <c:pt idx="17">
                  <c:v>90.52</c:v>
                </c:pt>
                <c:pt idx="18">
                  <c:v>100.99</c:v>
                </c:pt>
                <c:pt idx="19">
                  <c:v>112.12</c:v>
                </c:pt>
                <c:pt idx="20">
                  <c:v>123.87</c:v>
                </c:pt>
                <c:pt idx="21">
                  <c:v>128.5</c:v>
                </c:pt>
                <c:pt idx="22">
                  <c:v>143.33000000000001</c:v>
                </c:pt>
                <c:pt idx="23">
                  <c:v>150.65</c:v>
                </c:pt>
              </c:numCache>
            </c:numRef>
          </c:yVal>
        </c:ser>
        <c:ser>
          <c:idx val="10"/>
          <c:order val="10"/>
          <c:tx>
            <c:strRef>
              <c:f>Estimator!$AZ$39</c:f>
              <c:strCache>
                <c:ptCount val="1"/>
                <c:pt idx="0">
                  <c:v>AZ 43</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Estimator!$AZ$40:$AZ$63</c:f>
              <c:numCache>
                <c:formatCode>0.00</c:formatCode>
                <c:ptCount val="24"/>
                <c:pt idx="0">
                  <c:v>17.95</c:v>
                </c:pt>
                <c:pt idx="1">
                  <c:v>43.83</c:v>
                </c:pt>
                <c:pt idx="2">
                  <c:v>62.47</c:v>
                </c:pt>
                <c:pt idx="3">
                  <c:v>76.33</c:v>
                </c:pt>
                <c:pt idx="4">
                  <c:v>87.64</c:v>
                </c:pt>
                <c:pt idx="5">
                  <c:v>97.82</c:v>
                </c:pt>
                <c:pt idx="6">
                  <c:v>107.76</c:v>
                </c:pt>
                <c:pt idx="7">
                  <c:v>118.13</c:v>
                </c:pt>
                <c:pt idx="8">
                  <c:v>129.52000000000001</c:v>
                </c:pt>
                <c:pt idx="9">
                  <c:v>142.4</c:v>
                </c:pt>
                <c:pt idx="10">
                  <c:v>157.01</c:v>
                </c:pt>
                <c:pt idx="11">
                  <c:v>173.07</c:v>
                </c:pt>
                <c:pt idx="12">
                  <c:v>189.66</c:v>
                </c:pt>
                <c:pt idx="13">
                  <c:v>205.54</c:v>
                </c:pt>
                <c:pt idx="14">
                  <c:v>219.88</c:v>
                </c:pt>
                <c:pt idx="15">
                  <c:v>232.51</c:v>
                </c:pt>
                <c:pt idx="16">
                  <c:v>243.71</c:v>
                </c:pt>
                <c:pt idx="17">
                  <c:v>254</c:v>
                </c:pt>
                <c:pt idx="18">
                  <c:v>263.95</c:v>
                </c:pt>
                <c:pt idx="19">
                  <c:v>274.05</c:v>
                </c:pt>
                <c:pt idx="20">
                  <c:v>285.69</c:v>
                </c:pt>
                <c:pt idx="21">
                  <c:v>292.45</c:v>
                </c:pt>
                <c:pt idx="22">
                  <c:v>319.92</c:v>
                </c:pt>
                <c:pt idx="23">
                  <c:v>347.06</c:v>
                </c:pt>
              </c:numCache>
            </c:numRef>
          </c:yVal>
        </c:ser>
        <c:ser>
          <c:idx val="11"/>
          <c:order val="11"/>
          <c:tx>
            <c:strRef>
              <c:f>Estimator!$BA$39</c:f>
              <c:strCache>
                <c:ptCount val="1"/>
                <c:pt idx="0">
                  <c:v>ZEN 43</c:v>
                </c:pt>
              </c:strCache>
            </c:strRef>
          </c:tx>
          <c:marker>
            <c:symbol val="none"/>
          </c:marker>
          <c:xVal>
            <c:numRef>
              <c:f>Estimator!$AO$40:$AO$63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Estimator!$BA$40:$BA$63</c:f>
              <c:numCache>
                <c:formatCode>0.00</c:formatCode>
                <c:ptCount val="24"/>
                <c:pt idx="0">
                  <c:v>151.66</c:v>
                </c:pt>
                <c:pt idx="1">
                  <c:v>146.08000000000001</c:v>
                </c:pt>
                <c:pt idx="2">
                  <c:v>137.38</c:v>
                </c:pt>
                <c:pt idx="3">
                  <c:v>127.21</c:v>
                </c:pt>
                <c:pt idx="4">
                  <c:v>116.47</c:v>
                </c:pt>
                <c:pt idx="5">
                  <c:v>105.68</c:v>
                </c:pt>
                <c:pt idx="6">
                  <c:v>95.08</c:v>
                </c:pt>
                <c:pt idx="7">
                  <c:v>85.08</c:v>
                </c:pt>
                <c:pt idx="8">
                  <c:v>76.03</c:v>
                </c:pt>
                <c:pt idx="9">
                  <c:v>68.48</c:v>
                </c:pt>
                <c:pt idx="10">
                  <c:v>62.98</c:v>
                </c:pt>
                <c:pt idx="11">
                  <c:v>60.15</c:v>
                </c:pt>
                <c:pt idx="12">
                  <c:v>60.44</c:v>
                </c:pt>
                <c:pt idx="13">
                  <c:v>63.71</c:v>
                </c:pt>
                <c:pt idx="14">
                  <c:v>69.94</c:v>
                </c:pt>
                <c:pt idx="15">
                  <c:v>77.39</c:v>
                </c:pt>
                <c:pt idx="16">
                  <c:v>86.58</c:v>
                </c:pt>
                <c:pt idx="17">
                  <c:v>96.37</c:v>
                </c:pt>
                <c:pt idx="18">
                  <c:v>107.34</c:v>
                </c:pt>
                <c:pt idx="19">
                  <c:v>118.37</c:v>
                </c:pt>
                <c:pt idx="20">
                  <c:v>129.04</c:v>
                </c:pt>
                <c:pt idx="21">
                  <c:v>134.1</c:v>
                </c:pt>
                <c:pt idx="22">
                  <c:v>147.38999999999999</c:v>
                </c:pt>
                <c:pt idx="23">
                  <c:v>152.16</c:v>
                </c:pt>
              </c:numCache>
            </c:numRef>
          </c:yVal>
        </c:ser>
        <c:axId val="129076608"/>
        <c:axId val="129095552"/>
      </c:scatterChart>
      <c:valAx>
        <c:axId val="129076608"/>
        <c:scaling>
          <c:orientation val="minMax"/>
        </c:scaling>
        <c:axPos val="b"/>
        <c:title/>
        <c:numFmt formatCode="General" sourceLinked="1"/>
        <c:majorTickMark val="none"/>
        <c:tickLblPos val="nextTo"/>
        <c:crossAx val="129095552"/>
        <c:crosses val="autoZero"/>
        <c:crossBetween val="midCat"/>
      </c:valAx>
      <c:valAx>
        <c:axId val="129095552"/>
        <c:scaling>
          <c:orientation val="minMax"/>
        </c:scaling>
        <c:axPos val="l"/>
        <c:majorGridlines/>
        <c:title/>
        <c:numFmt formatCode="0.00" sourceLinked="1"/>
        <c:majorTickMark val="none"/>
        <c:tickLblPos val="nextTo"/>
        <c:crossAx val="129076608"/>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Mountain</a:t>
            </a:r>
          </a:p>
        </c:rich>
      </c:tx>
    </c:title>
    <c:plotArea>
      <c:layout/>
      <c:scatterChart>
        <c:scatterStyle val="lineMarker"/>
        <c:ser>
          <c:idx val="0"/>
          <c:order val="0"/>
          <c:tx>
            <c:strRef>
              <c:f>Estimator!$BP$69</c:f>
              <c:strCache>
                <c:ptCount val="1"/>
                <c:pt idx="0">
                  <c:v>AZ 32</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Estimator!$BP$70:$BP$93</c:f>
              <c:numCache>
                <c:formatCode>0.00</c:formatCode>
                <c:ptCount val="24"/>
                <c:pt idx="0">
                  <c:v>3.09</c:v>
                </c:pt>
                <c:pt idx="1">
                  <c:v>21.45</c:v>
                </c:pt>
                <c:pt idx="2">
                  <c:v>37.299999999999997</c:v>
                </c:pt>
                <c:pt idx="3">
                  <c:v>50.14</c:v>
                </c:pt>
                <c:pt idx="4">
                  <c:v>60.52</c:v>
                </c:pt>
                <c:pt idx="5">
                  <c:v>69.209999999999994</c:v>
                </c:pt>
                <c:pt idx="6">
                  <c:v>76.91</c:v>
                </c:pt>
                <c:pt idx="7">
                  <c:v>84.29</c:v>
                </c:pt>
                <c:pt idx="8">
                  <c:v>92.08</c:v>
                </c:pt>
                <c:pt idx="9">
                  <c:v>101.47</c:v>
                </c:pt>
                <c:pt idx="10">
                  <c:v>115.12</c:v>
                </c:pt>
                <c:pt idx="11">
                  <c:v>140.57</c:v>
                </c:pt>
                <c:pt idx="12">
                  <c:v>188.75</c:v>
                </c:pt>
                <c:pt idx="13">
                  <c:v>229.9</c:v>
                </c:pt>
                <c:pt idx="14">
                  <c:v>250.16</c:v>
                </c:pt>
                <c:pt idx="15">
                  <c:v>261.95999999999998</c:v>
                </c:pt>
                <c:pt idx="16">
                  <c:v>270.64999999999998</c:v>
                </c:pt>
                <c:pt idx="17">
                  <c:v>277.95999999999998</c:v>
                </c:pt>
                <c:pt idx="18">
                  <c:v>285.39999999999998</c:v>
                </c:pt>
                <c:pt idx="19">
                  <c:v>293.38</c:v>
                </c:pt>
                <c:pt idx="20">
                  <c:v>302.56</c:v>
                </c:pt>
                <c:pt idx="21">
                  <c:v>307.82</c:v>
                </c:pt>
                <c:pt idx="22">
                  <c:v>327.48</c:v>
                </c:pt>
                <c:pt idx="23">
                  <c:v>344.29</c:v>
                </c:pt>
              </c:numCache>
            </c:numRef>
          </c:yVal>
        </c:ser>
        <c:ser>
          <c:idx val="1"/>
          <c:order val="1"/>
          <c:tx>
            <c:strRef>
              <c:f>Estimator!$BQ$69</c:f>
              <c:strCache>
                <c:ptCount val="1"/>
                <c:pt idx="0">
                  <c:v>ZEN 32</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Estimator!$BQ$70:$BQ$93</c:f>
              <c:numCache>
                <c:formatCode>0.00</c:formatCode>
                <c:ptCount val="24"/>
                <c:pt idx="0">
                  <c:v>131.03</c:v>
                </c:pt>
                <c:pt idx="1">
                  <c:v>128.32</c:v>
                </c:pt>
                <c:pt idx="2">
                  <c:v>122.05</c:v>
                </c:pt>
                <c:pt idx="3">
                  <c:v>113.26</c:v>
                </c:pt>
                <c:pt idx="4">
                  <c:v>102.78</c:v>
                </c:pt>
                <c:pt idx="5">
                  <c:v>91.3</c:v>
                </c:pt>
                <c:pt idx="6">
                  <c:v>79.16</c:v>
                </c:pt>
                <c:pt idx="7">
                  <c:v>66.650000000000006</c:v>
                </c:pt>
                <c:pt idx="8">
                  <c:v>54.02</c:v>
                </c:pt>
                <c:pt idx="9">
                  <c:v>41.36</c:v>
                </c:pt>
                <c:pt idx="10">
                  <c:v>29.24</c:v>
                </c:pt>
                <c:pt idx="11">
                  <c:v>19.170000000000002</c:v>
                </c:pt>
                <c:pt idx="12">
                  <c:v>15.53</c:v>
                </c:pt>
                <c:pt idx="13">
                  <c:v>22.01</c:v>
                </c:pt>
                <c:pt idx="14">
                  <c:v>33.049999999999997</c:v>
                </c:pt>
                <c:pt idx="15">
                  <c:v>45.38</c:v>
                </c:pt>
                <c:pt idx="16">
                  <c:v>58.09</c:v>
                </c:pt>
                <c:pt idx="17">
                  <c:v>70.84</c:v>
                </c:pt>
                <c:pt idx="18">
                  <c:v>83.22</c:v>
                </c:pt>
                <c:pt idx="19">
                  <c:v>95.19</c:v>
                </c:pt>
                <c:pt idx="20">
                  <c:v>106.38</c:v>
                </c:pt>
                <c:pt idx="21">
                  <c:v>111.55</c:v>
                </c:pt>
                <c:pt idx="22">
                  <c:v>124.44</c:v>
                </c:pt>
                <c:pt idx="23">
                  <c:v>129.65</c:v>
                </c:pt>
              </c:numCache>
            </c:numRef>
          </c:yVal>
        </c:ser>
        <c:ser>
          <c:idx val="2"/>
          <c:order val="2"/>
          <c:tx>
            <c:strRef>
              <c:f>Estimator!$BR$69</c:f>
              <c:strCache>
                <c:ptCount val="1"/>
                <c:pt idx="0">
                  <c:v>AZ 36</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Estimator!$BR$70:$BR$93</c:f>
              <c:numCache>
                <c:formatCode>General</c:formatCode>
                <c:ptCount val="24"/>
                <c:pt idx="0">
                  <c:v>8.92</c:v>
                </c:pt>
                <c:pt idx="1">
                  <c:v>25.97</c:v>
                </c:pt>
                <c:pt idx="2">
                  <c:v>40.67</c:v>
                </c:pt>
                <c:pt idx="3">
                  <c:v>52.88</c:v>
                </c:pt>
                <c:pt idx="4">
                  <c:v>63.11</c:v>
                </c:pt>
                <c:pt idx="5">
                  <c:v>72.03</c:v>
                </c:pt>
                <c:pt idx="6">
                  <c:v>80.3</c:v>
                </c:pt>
                <c:pt idx="7">
                  <c:v>88.61</c:v>
                </c:pt>
                <c:pt idx="8">
                  <c:v>97.83</c:v>
                </c:pt>
                <c:pt idx="9">
                  <c:v>109.58</c:v>
                </c:pt>
                <c:pt idx="10">
                  <c:v>127.35</c:v>
                </c:pt>
                <c:pt idx="11">
                  <c:v>158.36000000000001</c:v>
                </c:pt>
                <c:pt idx="12">
                  <c:v>201.23</c:v>
                </c:pt>
                <c:pt idx="13">
                  <c:v>232.46</c:v>
                </c:pt>
                <c:pt idx="14">
                  <c:v>250.35</c:v>
                </c:pt>
                <c:pt idx="15">
                  <c:v>262.14999999999998</c:v>
                </c:pt>
                <c:pt idx="16">
                  <c:v>271.39999999999998</c:v>
                </c:pt>
                <c:pt idx="17">
                  <c:v>279.47000000000003</c:v>
                </c:pt>
                <c:pt idx="18">
                  <c:v>287.77</c:v>
                </c:pt>
                <c:pt idx="19">
                  <c:v>296.70999999999998</c:v>
                </c:pt>
                <c:pt idx="20">
                  <c:v>306.94</c:v>
                </c:pt>
                <c:pt idx="21">
                  <c:v>312.76</c:v>
                </c:pt>
                <c:pt idx="22">
                  <c:v>333.83</c:v>
                </c:pt>
                <c:pt idx="23">
                  <c:v>350.87</c:v>
                </c:pt>
              </c:numCache>
            </c:numRef>
          </c:yVal>
        </c:ser>
        <c:ser>
          <c:idx val="3"/>
          <c:order val="3"/>
          <c:tx>
            <c:strRef>
              <c:f>Estimator!$BS$69</c:f>
              <c:strCache>
                <c:ptCount val="1"/>
                <c:pt idx="0">
                  <c:v>ZEN 36</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Estimator!$BS$70:$BS$93</c:f>
              <c:numCache>
                <c:formatCode>General</c:formatCode>
                <c:ptCount val="24"/>
                <c:pt idx="0">
                  <c:v>127.16</c:v>
                </c:pt>
                <c:pt idx="1">
                  <c:v>123.5</c:v>
                </c:pt>
                <c:pt idx="2">
                  <c:v>116.75</c:v>
                </c:pt>
                <c:pt idx="3">
                  <c:v>107.86</c:v>
                </c:pt>
                <c:pt idx="4">
                  <c:v>97.54</c:v>
                </c:pt>
                <c:pt idx="5">
                  <c:v>86.25</c:v>
                </c:pt>
                <c:pt idx="6">
                  <c:v>74.400000000000006</c:v>
                </c:pt>
                <c:pt idx="7">
                  <c:v>61.86</c:v>
                </c:pt>
                <c:pt idx="8">
                  <c:v>50.12</c:v>
                </c:pt>
                <c:pt idx="9">
                  <c:v>38.28</c:v>
                </c:pt>
                <c:pt idx="10">
                  <c:v>27.58</c:v>
                </c:pt>
                <c:pt idx="11">
                  <c:v>20.04</c:v>
                </c:pt>
                <c:pt idx="12">
                  <c:v>19.98</c:v>
                </c:pt>
                <c:pt idx="13">
                  <c:v>27.39</c:v>
                </c:pt>
                <c:pt idx="14">
                  <c:v>38.1</c:v>
                </c:pt>
                <c:pt idx="15">
                  <c:v>49.96</c:v>
                </c:pt>
                <c:pt idx="16">
                  <c:v>62.1</c:v>
                </c:pt>
                <c:pt idx="17">
                  <c:v>74.349999999999994</c:v>
                </c:pt>
                <c:pt idx="18">
                  <c:v>86.19</c:v>
                </c:pt>
                <c:pt idx="19">
                  <c:v>97.93</c:v>
                </c:pt>
                <c:pt idx="20">
                  <c:v>107.8</c:v>
                </c:pt>
                <c:pt idx="21">
                  <c:v>112.46</c:v>
                </c:pt>
                <c:pt idx="22">
                  <c:v>123.44</c:v>
                </c:pt>
                <c:pt idx="23">
                  <c:v>127.15</c:v>
                </c:pt>
              </c:numCache>
            </c:numRef>
          </c:yVal>
        </c:ser>
        <c:ser>
          <c:idx val="4"/>
          <c:order val="4"/>
          <c:tx>
            <c:strRef>
              <c:f>Estimator!$BT$69</c:f>
              <c:strCache>
                <c:ptCount val="1"/>
                <c:pt idx="0">
                  <c:v>AZ 39</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Estimator!$BT$70:$BT$93</c:f>
              <c:numCache>
                <c:formatCode>0.00</c:formatCode>
                <c:ptCount val="24"/>
                <c:pt idx="0">
                  <c:v>5.54</c:v>
                </c:pt>
                <c:pt idx="1">
                  <c:v>22.29</c:v>
                </c:pt>
                <c:pt idx="2">
                  <c:v>37.229999999999997</c:v>
                </c:pt>
                <c:pt idx="3">
                  <c:v>50.02</c:v>
                </c:pt>
                <c:pt idx="4">
                  <c:v>60.98</c:v>
                </c:pt>
                <c:pt idx="5">
                  <c:v>70.66</c:v>
                </c:pt>
                <c:pt idx="6">
                  <c:v>79.7</c:v>
                </c:pt>
                <c:pt idx="7">
                  <c:v>88.75</c:v>
                </c:pt>
                <c:pt idx="8">
                  <c:v>98.69</c:v>
                </c:pt>
                <c:pt idx="9">
                  <c:v>110.95</c:v>
                </c:pt>
                <c:pt idx="10">
                  <c:v>128.27000000000001</c:v>
                </c:pt>
                <c:pt idx="11">
                  <c:v>155.34</c:v>
                </c:pt>
                <c:pt idx="12">
                  <c:v>192.01</c:v>
                </c:pt>
                <c:pt idx="13">
                  <c:v>223.4</c:v>
                </c:pt>
                <c:pt idx="14">
                  <c:v>243.67</c:v>
                </c:pt>
                <c:pt idx="15">
                  <c:v>257.33999999999997</c:v>
                </c:pt>
                <c:pt idx="16">
                  <c:v>267.92</c:v>
                </c:pt>
                <c:pt idx="17">
                  <c:v>276.94</c:v>
                </c:pt>
                <c:pt idx="18">
                  <c:v>285.93</c:v>
                </c:pt>
                <c:pt idx="19">
                  <c:v>295.33</c:v>
                </c:pt>
                <c:pt idx="20">
                  <c:v>305.77999999999997</c:v>
                </c:pt>
                <c:pt idx="21">
                  <c:v>311.58</c:v>
                </c:pt>
                <c:pt idx="22">
                  <c:v>332.05</c:v>
                </c:pt>
                <c:pt idx="23">
                  <c:v>348.26</c:v>
                </c:pt>
              </c:numCache>
            </c:numRef>
          </c:yVal>
        </c:ser>
        <c:ser>
          <c:idx val="5"/>
          <c:order val="5"/>
          <c:tx>
            <c:strRef>
              <c:f>Estimator!$BU$69</c:f>
              <c:strCache>
                <c:ptCount val="1"/>
                <c:pt idx="0">
                  <c:v>ZEN 39</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Estimator!$BU$70:$BU$93</c:f>
              <c:numCache>
                <c:formatCode>0.00</c:formatCode>
                <c:ptCount val="24"/>
                <c:pt idx="0">
                  <c:v>124.05</c:v>
                </c:pt>
                <c:pt idx="1">
                  <c:v>121.22</c:v>
                </c:pt>
                <c:pt idx="2">
                  <c:v>115.4</c:v>
                </c:pt>
                <c:pt idx="3">
                  <c:v>108.78</c:v>
                </c:pt>
                <c:pt idx="4">
                  <c:v>97.76</c:v>
                </c:pt>
                <c:pt idx="5">
                  <c:v>87.16</c:v>
                </c:pt>
                <c:pt idx="6">
                  <c:v>75.87</c:v>
                </c:pt>
                <c:pt idx="7">
                  <c:v>64.319999999999993</c:v>
                </c:pt>
                <c:pt idx="8">
                  <c:v>52.75</c:v>
                </c:pt>
                <c:pt idx="9">
                  <c:v>41.42</c:v>
                </c:pt>
                <c:pt idx="10">
                  <c:v>31.32</c:v>
                </c:pt>
                <c:pt idx="11">
                  <c:v>23.99</c:v>
                </c:pt>
                <c:pt idx="12">
                  <c:v>22.59</c:v>
                </c:pt>
                <c:pt idx="13">
                  <c:v>28.17</c:v>
                </c:pt>
                <c:pt idx="14">
                  <c:v>37.57</c:v>
                </c:pt>
                <c:pt idx="15">
                  <c:v>48.52</c:v>
                </c:pt>
                <c:pt idx="16">
                  <c:v>60.05</c:v>
                </c:pt>
                <c:pt idx="17">
                  <c:v>71.83</c:v>
                </c:pt>
                <c:pt idx="18">
                  <c:v>83.22</c:v>
                </c:pt>
                <c:pt idx="19">
                  <c:v>94.09</c:v>
                </c:pt>
                <c:pt idx="20">
                  <c:v>104.13</c:v>
                </c:pt>
                <c:pt idx="21">
                  <c:v>108.53</c:v>
                </c:pt>
                <c:pt idx="22">
                  <c:v>119.5</c:v>
                </c:pt>
                <c:pt idx="23">
                  <c:v>123.44</c:v>
                </c:pt>
              </c:numCache>
            </c:numRef>
          </c:yVal>
        </c:ser>
        <c:ser>
          <c:idx val="6"/>
          <c:order val="6"/>
          <c:tx>
            <c:strRef>
              <c:f>Estimator!$BV$69</c:f>
              <c:strCache>
                <c:ptCount val="1"/>
                <c:pt idx="0">
                  <c:v>AZ 43</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Estimator!$BV$70:$BV$93</c:f>
              <c:numCache>
                <c:formatCode>0.00</c:formatCode>
                <c:ptCount val="24"/>
                <c:pt idx="0">
                  <c:v>5.13</c:v>
                </c:pt>
                <c:pt idx="1">
                  <c:v>21.32</c:v>
                </c:pt>
                <c:pt idx="2">
                  <c:v>36.08</c:v>
                </c:pt>
                <c:pt idx="3">
                  <c:v>49.06</c:v>
                </c:pt>
                <c:pt idx="4">
                  <c:v>60.46</c:v>
                </c:pt>
                <c:pt idx="5">
                  <c:v>70.77</c:v>
                </c:pt>
                <c:pt idx="6">
                  <c:v>80.540000000000006</c:v>
                </c:pt>
                <c:pt idx="7">
                  <c:v>90.44</c:v>
                </c:pt>
                <c:pt idx="8">
                  <c:v>101.34</c:v>
                </c:pt>
                <c:pt idx="9">
                  <c:v>114.6</c:v>
                </c:pt>
                <c:pt idx="10">
                  <c:v>132.51</c:v>
                </c:pt>
                <c:pt idx="11">
                  <c:v>158.07</c:v>
                </c:pt>
                <c:pt idx="12">
                  <c:v>190.05</c:v>
                </c:pt>
                <c:pt idx="13">
                  <c:v>218.77</c:v>
                </c:pt>
                <c:pt idx="14">
                  <c:v>239.32</c:v>
                </c:pt>
                <c:pt idx="15">
                  <c:v>254.03</c:v>
                </c:pt>
                <c:pt idx="16">
                  <c:v>265.64999999999998</c:v>
                </c:pt>
                <c:pt idx="17">
                  <c:v>275.58999999999997</c:v>
                </c:pt>
                <c:pt idx="18">
                  <c:v>285.36</c:v>
                </c:pt>
                <c:pt idx="19">
                  <c:v>295.41000000000003</c:v>
                </c:pt>
                <c:pt idx="20">
                  <c:v>306.35000000000002</c:v>
                </c:pt>
                <c:pt idx="21">
                  <c:v>312.32</c:v>
                </c:pt>
                <c:pt idx="22">
                  <c:v>332.8</c:v>
                </c:pt>
                <c:pt idx="23">
                  <c:v>348.54</c:v>
                </c:pt>
              </c:numCache>
            </c:numRef>
          </c:yVal>
        </c:ser>
        <c:ser>
          <c:idx val="7"/>
          <c:order val="7"/>
          <c:tx>
            <c:strRef>
              <c:f>Estimator!$BW$69</c:f>
              <c:strCache>
                <c:ptCount val="1"/>
                <c:pt idx="0">
                  <c:v>ZEN 43</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Estimator!$BW$70:$BW$93</c:f>
              <c:numCache>
                <c:formatCode>0.00</c:formatCode>
                <c:ptCount val="24"/>
                <c:pt idx="0">
                  <c:v>120.32</c:v>
                </c:pt>
                <c:pt idx="1">
                  <c:v>117.9</c:v>
                </c:pt>
                <c:pt idx="2">
                  <c:v>112.46</c:v>
                </c:pt>
                <c:pt idx="3">
                  <c:v>104.52</c:v>
                </c:pt>
                <c:pt idx="4">
                  <c:v>96.05</c:v>
                </c:pt>
                <c:pt idx="5">
                  <c:v>86.01</c:v>
                </c:pt>
                <c:pt idx="6">
                  <c:v>75.36</c:v>
                </c:pt>
                <c:pt idx="7">
                  <c:v>64.55</c:v>
                </c:pt>
                <c:pt idx="8">
                  <c:v>53.49</c:v>
                </c:pt>
                <c:pt idx="9">
                  <c:v>43.02</c:v>
                </c:pt>
                <c:pt idx="10">
                  <c:v>33.85</c:v>
                </c:pt>
                <c:pt idx="11">
                  <c:v>27.45</c:v>
                </c:pt>
                <c:pt idx="12">
                  <c:v>26.3</c:v>
                </c:pt>
                <c:pt idx="13">
                  <c:v>30.92</c:v>
                </c:pt>
                <c:pt idx="14">
                  <c:v>39.22</c:v>
                </c:pt>
                <c:pt idx="15">
                  <c:v>49.39</c:v>
                </c:pt>
                <c:pt idx="16">
                  <c:v>60.08</c:v>
                </c:pt>
                <c:pt idx="17">
                  <c:v>71.27</c:v>
                </c:pt>
                <c:pt idx="18">
                  <c:v>82.2</c:v>
                </c:pt>
                <c:pt idx="19">
                  <c:v>92.36</c:v>
                </c:pt>
                <c:pt idx="20">
                  <c:v>101.81</c:v>
                </c:pt>
                <c:pt idx="21">
                  <c:v>106.03</c:v>
                </c:pt>
                <c:pt idx="22">
                  <c:v>116.08</c:v>
                </c:pt>
                <c:pt idx="23">
                  <c:v>119.71</c:v>
                </c:pt>
              </c:numCache>
            </c:numRef>
          </c:yVal>
        </c:ser>
        <c:ser>
          <c:idx val="8"/>
          <c:order val="8"/>
          <c:tx>
            <c:strRef>
              <c:f>Estimator!$BX$69</c:f>
              <c:strCache>
                <c:ptCount val="1"/>
                <c:pt idx="0">
                  <c:v>AZ 47</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Estimator!$BX$70:$BX$93</c:f>
              <c:numCache>
                <c:formatCode>0.00</c:formatCode>
                <c:ptCount val="24"/>
                <c:pt idx="0">
                  <c:v>2.17</c:v>
                </c:pt>
                <c:pt idx="1">
                  <c:v>17.899999999999999</c:v>
                </c:pt>
                <c:pt idx="2">
                  <c:v>32.659999999999997</c:v>
                </c:pt>
                <c:pt idx="3">
                  <c:v>46.05</c:v>
                </c:pt>
                <c:pt idx="4">
                  <c:v>58.15</c:v>
                </c:pt>
                <c:pt idx="5">
                  <c:v>69.28</c:v>
                </c:pt>
                <c:pt idx="6">
                  <c:v>79.95</c:v>
                </c:pt>
                <c:pt idx="7">
                  <c:v>90.75</c:v>
                </c:pt>
                <c:pt idx="8">
                  <c:v>102.47</c:v>
                </c:pt>
                <c:pt idx="9">
                  <c:v>116.23</c:v>
                </c:pt>
                <c:pt idx="10">
                  <c:v>133.66</c:v>
                </c:pt>
                <c:pt idx="11">
                  <c:v>156.46</c:v>
                </c:pt>
                <c:pt idx="12">
                  <c:v>183.85</c:v>
                </c:pt>
                <c:pt idx="13">
                  <c:v>210.37</c:v>
                </c:pt>
                <c:pt idx="14">
                  <c:v>231.63</c:v>
                </c:pt>
                <c:pt idx="15">
                  <c:v>247.88</c:v>
                </c:pt>
                <c:pt idx="16">
                  <c:v>260.95999999999998</c:v>
                </c:pt>
                <c:pt idx="17">
                  <c:v>272.13</c:v>
                </c:pt>
                <c:pt idx="18">
                  <c:v>282.85000000000002</c:v>
                </c:pt>
                <c:pt idx="19">
                  <c:v>293.61</c:v>
                </c:pt>
                <c:pt idx="20">
                  <c:v>304.99</c:v>
                </c:pt>
                <c:pt idx="21">
                  <c:v>311.05</c:v>
                </c:pt>
                <c:pt idx="22">
                  <c:v>331.22</c:v>
                </c:pt>
                <c:pt idx="23">
                  <c:v>346.32</c:v>
                </c:pt>
              </c:numCache>
            </c:numRef>
          </c:yVal>
        </c:ser>
        <c:ser>
          <c:idx val="9"/>
          <c:order val="9"/>
          <c:tx>
            <c:strRef>
              <c:f>Estimator!$BY$69</c:f>
              <c:strCache>
                <c:ptCount val="1"/>
                <c:pt idx="0">
                  <c:v>ZEN 47</c:v>
                </c:pt>
              </c:strCache>
            </c:strRef>
          </c:tx>
          <c:marker>
            <c:symbol val="none"/>
          </c:marker>
          <c:xVal>
            <c:numRef>
              <c:f>Estimator!$BO$70:$BO$93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Estimator!$BY$70:$BY$93</c:f>
              <c:numCache>
                <c:formatCode>0.00</c:formatCode>
                <c:ptCount val="24"/>
                <c:pt idx="0">
                  <c:v>115.8</c:v>
                </c:pt>
                <c:pt idx="1">
                  <c:v>113.99</c:v>
                </c:pt>
                <c:pt idx="2">
                  <c:v>109.66</c:v>
                </c:pt>
                <c:pt idx="3">
                  <c:v>103.24</c:v>
                </c:pt>
                <c:pt idx="4">
                  <c:v>95.24</c:v>
                </c:pt>
                <c:pt idx="5">
                  <c:v>86.13</c:v>
                </c:pt>
                <c:pt idx="6">
                  <c:v>76.37</c:v>
                </c:pt>
                <c:pt idx="7">
                  <c:v>66.260000000000005</c:v>
                </c:pt>
                <c:pt idx="8">
                  <c:v>56.15</c:v>
                </c:pt>
                <c:pt idx="9">
                  <c:v>46.65</c:v>
                </c:pt>
                <c:pt idx="10">
                  <c:v>38.340000000000003</c:v>
                </c:pt>
                <c:pt idx="11">
                  <c:v>33.659999999999997</c:v>
                </c:pt>
                <c:pt idx="12">
                  <c:v>30.67</c:v>
                </c:pt>
                <c:pt idx="13">
                  <c:v>33.72</c:v>
                </c:pt>
                <c:pt idx="14">
                  <c:v>40.380000000000003</c:v>
                </c:pt>
                <c:pt idx="15">
                  <c:v>49.13</c:v>
                </c:pt>
                <c:pt idx="16">
                  <c:v>58.92</c:v>
                </c:pt>
                <c:pt idx="17">
                  <c:v>69.150000000000006</c:v>
                </c:pt>
                <c:pt idx="18">
                  <c:v>79.16</c:v>
                </c:pt>
                <c:pt idx="19">
                  <c:v>87.74</c:v>
                </c:pt>
                <c:pt idx="20">
                  <c:v>97.63</c:v>
                </c:pt>
                <c:pt idx="21">
                  <c:v>101.6</c:v>
                </c:pt>
                <c:pt idx="22">
                  <c:v>111.1</c:v>
                </c:pt>
                <c:pt idx="23">
                  <c:v>114.78</c:v>
                </c:pt>
              </c:numCache>
            </c:numRef>
          </c:yVal>
        </c:ser>
        <c:axId val="165273600"/>
        <c:axId val="165275520"/>
      </c:scatterChart>
      <c:valAx>
        <c:axId val="165273600"/>
        <c:scaling>
          <c:orientation val="minMax"/>
        </c:scaling>
        <c:axPos val="b"/>
        <c:title/>
        <c:numFmt formatCode="General" sourceLinked="1"/>
        <c:majorTickMark val="none"/>
        <c:tickLblPos val="nextTo"/>
        <c:crossAx val="165275520"/>
        <c:crosses val="autoZero"/>
        <c:crossBetween val="midCat"/>
      </c:valAx>
      <c:valAx>
        <c:axId val="165275520"/>
        <c:scaling>
          <c:orientation val="minMax"/>
        </c:scaling>
        <c:axPos val="l"/>
        <c:majorGridlines/>
        <c:title/>
        <c:numFmt formatCode="0.00" sourceLinked="1"/>
        <c:majorTickMark val="none"/>
        <c:tickLblPos val="nextTo"/>
        <c:crossAx val="165273600"/>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Summer, Mountain</a:t>
            </a:r>
          </a:p>
        </c:rich>
      </c:tx>
    </c:title>
    <c:plotArea>
      <c:layout/>
      <c:scatterChart>
        <c:scatterStyle val="lineMarker"/>
        <c:ser>
          <c:idx val="0"/>
          <c:order val="0"/>
          <c:tx>
            <c:strRef>
              <c:f>Estimator!$BP$99</c:f>
              <c:strCache>
                <c:ptCount val="1"/>
                <c:pt idx="0">
                  <c:v>AZ 32</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Estimator!$BP$100:$BP$123</c:f>
              <c:numCache>
                <c:formatCode>0.00</c:formatCode>
                <c:ptCount val="24"/>
                <c:pt idx="0">
                  <c:v>0.11</c:v>
                </c:pt>
                <c:pt idx="1">
                  <c:v>18.68</c:v>
                </c:pt>
                <c:pt idx="2">
                  <c:v>34.979999999999997</c:v>
                </c:pt>
                <c:pt idx="3">
                  <c:v>48.28</c:v>
                </c:pt>
                <c:pt idx="4">
                  <c:v>59.01</c:v>
                </c:pt>
                <c:pt idx="5">
                  <c:v>67.930000000000007</c:v>
                </c:pt>
                <c:pt idx="6">
                  <c:v>75.77</c:v>
                </c:pt>
                <c:pt idx="7">
                  <c:v>83.18</c:v>
                </c:pt>
                <c:pt idx="8">
                  <c:v>90.87</c:v>
                </c:pt>
                <c:pt idx="9">
                  <c:v>99.93</c:v>
                </c:pt>
                <c:pt idx="10">
                  <c:v>112.68</c:v>
                </c:pt>
                <c:pt idx="11">
                  <c:v>135.5</c:v>
                </c:pt>
                <c:pt idx="12">
                  <c:v>180.38</c:v>
                </c:pt>
                <c:pt idx="13">
                  <c:v>224.91</c:v>
                </c:pt>
                <c:pt idx="14">
                  <c:v>247.47</c:v>
                </c:pt>
                <c:pt idx="15">
                  <c:v>260.12</c:v>
                </c:pt>
                <c:pt idx="16">
                  <c:v>269.14</c:v>
                </c:pt>
                <c:pt idx="17">
                  <c:v>277.06</c:v>
                </c:pt>
                <c:pt idx="18">
                  <c:v>284.44</c:v>
                </c:pt>
                <c:pt idx="19">
                  <c:v>292.27</c:v>
                </c:pt>
                <c:pt idx="20">
                  <c:v>301.18</c:v>
                </c:pt>
                <c:pt idx="21">
                  <c:v>306.27</c:v>
                </c:pt>
                <c:pt idx="22">
                  <c:v>325.22000000000003</c:v>
                </c:pt>
                <c:pt idx="23">
                  <c:v>341.54</c:v>
                </c:pt>
              </c:numCache>
            </c:numRef>
          </c:yVal>
        </c:ser>
        <c:ser>
          <c:idx val="1"/>
          <c:order val="1"/>
          <c:tx>
            <c:strRef>
              <c:f>Estimator!$BQ$99</c:f>
              <c:strCache>
                <c:ptCount val="1"/>
                <c:pt idx="0">
                  <c:v>ZEN 32</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Estimator!$BQ$100:$BQ$123</c:f>
              <c:numCache>
                <c:formatCode>0.00</c:formatCode>
                <c:ptCount val="24"/>
                <c:pt idx="0">
                  <c:v>130.97</c:v>
                </c:pt>
                <c:pt idx="1">
                  <c:v>128.55000000000001</c:v>
                </c:pt>
                <c:pt idx="2">
                  <c:v>123.16</c:v>
                </c:pt>
                <c:pt idx="3">
                  <c:v>114.73</c:v>
                </c:pt>
                <c:pt idx="4">
                  <c:v>104.5</c:v>
                </c:pt>
                <c:pt idx="5">
                  <c:v>92.44</c:v>
                </c:pt>
                <c:pt idx="6">
                  <c:v>81.150000000000006</c:v>
                </c:pt>
                <c:pt idx="7">
                  <c:v>68.709999999999994</c:v>
                </c:pt>
                <c:pt idx="8">
                  <c:v>55.97</c:v>
                </c:pt>
                <c:pt idx="9">
                  <c:v>43.35</c:v>
                </c:pt>
                <c:pt idx="10">
                  <c:v>31.68</c:v>
                </c:pt>
                <c:pt idx="11">
                  <c:v>20.59</c:v>
                </c:pt>
                <c:pt idx="12">
                  <c:v>15.53</c:v>
                </c:pt>
                <c:pt idx="13">
                  <c:v>20.69</c:v>
                </c:pt>
                <c:pt idx="14">
                  <c:v>31.35</c:v>
                </c:pt>
                <c:pt idx="15">
                  <c:v>43.57</c:v>
                </c:pt>
                <c:pt idx="16">
                  <c:v>56.19</c:v>
                </c:pt>
                <c:pt idx="17">
                  <c:v>68.7</c:v>
                </c:pt>
                <c:pt idx="18">
                  <c:v>81.17</c:v>
                </c:pt>
                <c:pt idx="19">
                  <c:v>93.21</c:v>
                </c:pt>
                <c:pt idx="20">
                  <c:v>104.56</c:v>
                </c:pt>
                <c:pt idx="21">
                  <c:v>109.84</c:v>
                </c:pt>
                <c:pt idx="22">
                  <c:v>123.22</c:v>
                </c:pt>
                <c:pt idx="23">
                  <c:v>128.93</c:v>
                </c:pt>
              </c:numCache>
            </c:numRef>
          </c:yVal>
        </c:ser>
        <c:ser>
          <c:idx val="2"/>
          <c:order val="2"/>
          <c:tx>
            <c:strRef>
              <c:f>Estimator!$BR$99</c:f>
              <c:strCache>
                <c:ptCount val="1"/>
                <c:pt idx="0">
                  <c:v>AZ 36</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Estimator!$BR$100:$BR$123</c:f>
              <c:numCache>
                <c:formatCode>General</c:formatCode>
                <c:ptCount val="24"/>
                <c:pt idx="0">
                  <c:v>6.11</c:v>
                </c:pt>
                <c:pt idx="1">
                  <c:v>23.4</c:v>
                </c:pt>
                <c:pt idx="2">
                  <c:v>38.5</c:v>
                </c:pt>
                <c:pt idx="3">
                  <c:v>51.08</c:v>
                </c:pt>
                <c:pt idx="4">
                  <c:v>61.59</c:v>
                </c:pt>
                <c:pt idx="5">
                  <c:v>70.7</c:v>
                </c:pt>
                <c:pt idx="6">
                  <c:v>79.05</c:v>
                </c:pt>
                <c:pt idx="7">
                  <c:v>87.32</c:v>
                </c:pt>
                <c:pt idx="8">
                  <c:v>96.36</c:v>
                </c:pt>
                <c:pt idx="9">
                  <c:v>107.59</c:v>
                </c:pt>
                <c:pt idx="10">
                  <c:v>124.1</c:v>
                </c:pt>
                <c:pt idx="11">
                  <c:v>152.52000000000001</c:v>
                </c:pt>
                <c:pt idx="12">
                  <c:v>194.72</c:v>
                </c:pt>
                <c:pt idx="13">
                  <c:v>228.44</c:v>
                </c:pt>
                <c:pt idx="14">
                  <c:v>247.83</c:v>
                </c:pt>
                <c:pt idx="15">
                  <c:v>260.27999999999997</c:v>
                </c:pt>
                <c:pt idx="16">
                  <c:v>269.81</c:v>
                </c:pt>
                <c:pt idx="17">
                  <c:v>278.44</c:v>
                </c:pt>
                <c:pt idx="18">
                  <c:v>286.66000000000003</c:v>
                </c:pt>
                <c:pt idx="19">
                  <c:v>295.42</c:v>
                </c:pt>
                <c:pt idx="20">
                  <c:v>305.38</c:v>
                </c:pt>
                <c:pt idx="21">
                  <c:v>311.02</c:v>
                </c:pt>
                <c:pt idx="22">
                  <c:v>331.45</c:v>
                </c:pt>
                <c:pt idx="23">
                  <c:v>348.13</c:v>
                </c:pt>
              </c:numCache>
            </c:numRef>
          </c:yVal>
        </c:ser>
        <c:ser>
          <c:idx val="3"/>
          <c:order val="3"/>
          <c:tx>
            <c:strRef>
              <c:f>Estimator!$BS$99</c:f>
              <c:strCache>
                <c:ptCount val="1"/>
                <c:pt idx="0">
                  <c:v>ZEN 36</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Estimator!$BS$100:$BS$123</c:f>
              <c:numCache>
                <c:formatCode>General</c:formatCode>
                <c:ptCount val="24"/>
                <c:pt idx="0">
                  <c:v>127.53</c:v>
                </c:pt>
                <c:pt idx="1">
                  <c:v>124.11</c:v>
                </c:pt>
                <c:pt idx="2">
                  <c:v>117.92</c:v>
                </c:pt>
                <c:pt idx="3">
                  <c:v>109.32</c:v>
                </c:pt>
                <c:pt idx="4">
                  <c:v>99.18</c:v>
                </c:pt>
                <c:pt idx="5">
                  <c:v>88.03</c:v>
                </c:pt>
                <c:pt idx="6">
                  <c:v>76.33</c:v>
                </c:pt>
                <c:pt idx="7">
                  <c:v>64.209999999999994</c:v>
                </c:pt>
                <c:pt idx="8">
                  <c:v>52.05</c:v>
                </c:pt>
                <c:pt idx="9">
                  <c:v>40.15</c:v>
                </c:pt>
                <c:pt idx="10">
                  <c:v>29.16</c:v>
                </c:pt>
                <c:pt idx="11">
                  <c:v>20.87</c:v>
                </c:pt>
                <c:pt idx="12">
                  <c:v>19.54</c:v>
                </c:pt>
                <c:pt idx="13">
                  <c:v>26.08</c:v>
                </c:pt>
                <c:pt idx="14">
                  <c:v>36.39</c:v>
                </c:pt>
                <c:pt idx="15">
                  <c:v>48.12</c:v>
                </c:pt>
                <c:pt idx="16">
                  <c:v>60.31</c:v>
                </c:pt>
                <c:pt idx="17">
                  <c:v>72.33</c:v>
                </c:pt>
                <c:pt idx="18">
                  <c:v>84.23</c:v>
                </c:pt>
                <c:pt idx="19">
                  <c:v>95.6</c:v>
                </c:pt>
                <c:pt idx="20">
                  <c:v>105.43</c:v>
                </c:pt>
                <c:pt idx="21">
                  <c:v>110.92</c:v>
                </c:pt>
                <c:pt idx="22">
                  <c:v>122.44</c:v>
                </c:pt>
                <c:pt idx="23">
                  <c:v>126.66</c:v>
                </c:pt>
              </c:numCache>
            </c:numRef>
          </c:yVal>
        </c:ser>
        <c:ser>
          <c:idx val="4"/>
          <c:order val="4"/>
          <c:tx>
            <c:strRef>
              <c:f>Estimator!$BT$99</c:f>
              <c:strCache>
                <c:ptCount val="1"/>
                <c:pt idx="0">
                  <c:v>AZ 39</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Estimator!$BT$100:$BT$123</c:f>
              <c:numCache>
                <c:formatCode>0.00</c:formatCode>
                <c:ptCount val="24"/>
                <c:pt idx="0">
                  <c:v>2.83</c:v>
                </c:pt>
                <c:pt idx="1">
                  <c:v>19.739999999999998</c:v>
                </c:pt>
                <c:pt idx="2">
                  <c:v>35</c:v>
                </c:pt>
                <c:pt idx="3">
                  <c:v>48.13</c:v>
                </c:pt>
                <c:pt idx="4">
                  <c:v>59.35</c:v>
                </c:pt>
                <c:pt idx="5">
                  <c:v>69.209999999999994</c:v>
                </c:pt>
                <c:pt idx="6">
                  <c:v>78.319999999999993</c:v>
                </c:pt>
                <c:pt idx="7">
                  <c:v>87.35</c:v>
                </c:pt>
                <c:pt idx="8">
                  <c:v>97.1</c:v>
                </c:pt>
                <c:pt idx="9">
                  <c:v>108.9</c:v>
                </c:pt>
                <c:pt idx="10">
                  <c:v>125.2</c:v>
                </c:pt>
                <c:pt idx="11">
                  <c:v>150.44</c:v>
                </c:pt>
                <c:pt idx="12">
                  <c:v>186.18</c:v>
                </c:pt>
                <c:pt idx="13">
                  <c:v>219.12</c:v>
                </c:pt>
                <c:pt idx="14">
                  <c:v>240.82</c:v>
                </c:pt>
                <c:pt idx="15">
                  <c:v>255.24</c:v>
                </c:pt>
                <c:pt idx="16">
                  <c:v>266.16000000000003</c:v>
                </c:pt>
                <c:pt idx="17">
                  <c:v>275.77</c:v>
                </c:pt>
                <c:pt idx="18">
                  <c:v>284.72000000000003</c:v>
                </c:pt>
                <c:pt idx="19">
                  <c:v>293.98</c:v>
                </c:pt>
                <c:pt idx="20">
                  <c:v>304.2</c:v>
                </c:pt>
                <c:pt idx="21">
                  <c:v>309.85000000000002</c:v>
                </c:pt>
                <c:pt idx="22">
                  <c:v>329.77</c:v>
                </c:pt>
                <c:pt idx="23">
                  <c:v>345.66</c:v>
                </c:pt>
              </c:numCache>
            </c:numRef>
          </c:yVal>
        </c:ser>
        <c:ser>
          <c:idx val="5"/>
          <c:order val="5"/>
          <c:tx>
            <c:strRef>
              <c:f>Estimator!$BU$99</c:f>
              <c:strCache>
                <c:ptCount val="1"/>
                <c:pt idx="0">
                  <c:v>ZEN 39</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Estimator!$BU$100:$BU$123</c:f>
              <c:numCache>
                <c:formatCode>0.00</c:formatCode>
                <c:ptCount val="24"/>
                <c:pt idx="0">
                  <c:v>124.05</c:v>
                </c:pt>
                <c:pt idx="1">
                  <c:v>121.77</c:v>
                </c:pt>
                <c:pt idx="2">
                  <c:v>116.41</c:v>
                </c:pt>
                <c:pt idx="3">
                  <c:v>108.67</c:v>
                </c:pt>
                <c:pt idx="4">
                  <c:v>99.31</c:v>
                </c:pt>
                <c:pt idx="5">
                  <c:v>88.81</c:v>
                </c:pt>
                <c:pt idx="6">
                  <c:v>77.680000000000007</c:v>
                </c:pt>
                <c:pt idx="7">
                  <c:v>66.150000000000006</c:v>
                </c:pt>
                <c:pt idx="8">
                  <c:v>54.53</c:v>
                </c:pt>
                <c:pt idx="9">
                  <c:v>43.18</c:v>
                </c:pt>
                <c:pt idx="10">
                  <c:v>32.86</c:v>
                </c:pt>
                <c:pt idx="11">
                  <c:v>24.93</c:v>
                </c:pt>
                <c:pt idx="12">
                  <c:v>22.51</c:v>
                </c:pt>
                <c:pt idx="13">
                  <c:v>27.12</c:v>
                </c:pt>
                <c:pt idx="14">
                  <c:v>36.08</c:v>
                </c:pt>
                <c:pt idx="15">
                  <c:v>46.97</c:v>
                </c:pt>
                <c:pt idx="16">
                  <c:v>58.39</c:v>
                </c:pt>
                <c:pt idx="17">
                  <c:v>69.81</c:v>
                </c:pt>
                <c:pt idx="18">
                  <c:v>81.290000000000006</c:v>
                </c:pt>
                <c:pt idx="19">
                  <c:v>92.3</c:v>
                </c:pt>
                <c:pt idx="20">
                  <c:v>102.44</c:v>
                </c:pt>
                <c:pt idx="21">
                  <c:v>107.1</c:v>
                </c:pt>
                <c:pt idx="22">
                  <c:v>118.43</c:v>
                </c:pt>
                <c:pt idx="23">
                  <c:v>122.88</c:v>
                </c:pt>
              </c:numCache>
            </c:numRef>
          </c:yVal>
        </c:ser>
        <c:ser>
          <c:idx val="6"/>
          <c:order val="6"/>
          <c:tx>
            <c:strRef>
              <c:f>Estimator!$BV$99</c:f>
              <c:strCache>
                <c:ptCount val="1"/>
                <c:pt idx="0">
                  <c:v>AZ 43</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Estimator!$BV$100:$BV$123</c:f>
              <c:numCache>
                <c:formatCode>0.00</c:formatCode>
                <c:ptCount val="24"/>
                <c:pt idx="0">
                  <c:v>2.5299999999999998</c:v>
                </c:pt>
                <c:pt idx="1">
                  <c:v>18.84</c:v>
                </c:pt>
                <c:pt idx="2">
                  <c:v>33.86</c:v>
                </c:pt>
                <c:pt idx="3">
                  <c:v>47.12</c:v>
                </c:pt>
                <c:pt idx="4">
                  <c:v>58.75</c:v>
                </c:pt>
                <c:pt idx="5">
                  <c:v>69.209999999999994</c:v>
                </c:pt>
                <c:pt idx="6">
                  <c:v>79.040000000000006</c:v>
                </c:pt>
                <c:pt idx="7">
                  <c:v>88.9</c:v>
                </c:pt>
                <c:pt idx="8">
                  <c:v>99.59</c:v>
                </c:pt>
                <c:pt idx="9">
                  <c:v>112.39</c:v>
                </c:pt>
                <c:pt idx="10">
                  <c:v>129.4</c:v>
                </c:pt>
                <c:pt idx="11">
                  <c:v>153.62</c:v>
                </c:pt>
                <c:pt idx="12">
                  <c:v>184.98</c:v>
                </c:pt>
                <c:pt idx="13">
                  <c:v>214.69</c:v>
                </c:pt>
                <c:pt idx="14">
                  <c:v>236.38</c:v>
                </c:pt>
                <c:pt idx="15">
                  <c:v>251.78</c:v>
                </c:pt>
                <c:pt idx="16">
                  <c:v>263.75</c:v>
                </c:pt>
                <c:pt idx="17">
                  <c:v>274.27999999999997</c:v>
                </c:pt>
                <c:pt idx="18">
                  <c:v>284.02</c:v>
                </c:pt>
                <c:pt idx="19">
                  <c:v>293.95999999999998</c:v>
                </c:pt>
                <c:pt idx="20">
                  <c:v>304.69</c:v>
                </c:pt>
                <c:pt idx="21">
                  <c:v>310.52999999999997</c:v>
                </c:pt>
                <c:pt idx="22">
                  <c:v>330.55</c:v>
                </c:pt>
                <c:pt idx="23">
                  <c:v>346.03</c:v>
                </c:pt>
              </c:numCache>
            </c:numRef>
          </c:yVal>
        </c:ser>
        <c:ser>
          <c:idx val="7"/>
          <c:order val="7"/>
          <c:tx>
            <c:strRef>
              <c:f>Estimator!$BW$99</c:f>
              <c:strCache>
                <c:ptCount val="1"/>
                <c:pt idx="0">
                  <c:v>ZEN 43</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Estimator!$BW$100:$BW$123</c:f>
              <c:numCache>
                <c:formatCode>0.00</c:formatCode>
                <c:ptCount val="24"/>
                <c:pt idx="0">
                  <c:v>120.32</c:v>
                </c:pt>
                <c:pt idx="1">
                  <c:v>118.18</c:v>
                </c:pt>
                <c:pt idx="2">
                  <c:v>113.45</c:v>
                </c:pt>
                <c:pt idx="3">
                  <c:v>106.27</c:v>
                </c:pt>
                <c:pt idx="4">
                  <c:v>97.5</c:v>
                </c:pt>
                <c:pt idx="5">
                  <c:v>87.62</c:v>
                </c:pt>
                <c:pt idx="6">
                  <c:v>77.06</c:v>
                </c:pt>
                <c:pt idx="7">
                  <c:v>66.150000000000006</c:v>
                </c:pt>
                <c:pt idx="8">
                  <c:v>55.19</c:v>
                </c:pt>
                <c:pt idx="9">
                  <c:v>44.54</c:v>
                </c:pt>
                <c:pt idx="10">
                  <c:v>35.200000000000003</c:v>
                </c:pt>
                <c:pt idx="11">
                  <c:v>28.22</c:v>
                </c:pt>
                <c:pt idx="12">
                  <c:v>26.24</c:v>
                </c:pt>
                <c:pt idx="13">
                  <c:v>30.04</c:v>
                </c:pt>
                <c:pt idx="14">
                  <c:v>37.96</c:v>
                </c:pt>
                <c:pt idx="15">
                  <c:v>47.86</c:v>
                </c:pt>
                <c:pt idx="16">
                  <c:v>58.71</c:v>
                </c:pt>
                <c:pt idx="17">
                  <c:v>69.37</c:v>
                </c:pt>
                <c:pt idx="18">
                  <c:v>80.25</c:v>
                </c:pt>
                <c:pt idx="19">
                  <c:v>90.63</c:v>
                </c:pt>
                <c:pt idx="20">
                  <c:v>100.24</c:v>
                </c:pt>
                <c:pt idx="21">
                  <c:v>104.42</c:v>
                </c:pt>
                <c:pt idx="22">
                  <c:v>115.12</c:v>
                </c:pt>
                <c:pt idx="23">
                  <c:v>119.21</c:v>
                </c:pt>
              </c:numCache>
            </c:numRef>
          </c:yVal>
        </c:ser>
        <c:ser>
          <c:idx val="8"/>
          <c:order val="8"/>
          <c:tx>
            <c:strRef>
              <c:f>Estimator!$BX$99</c:f>
              <c:strCache>
                <c:ptCount val="1"/>
                <c:pt idx="0">
                  <c:v>AZ 47</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Estimator!$BX$100:$BX$123</c:f>
              <c:numCache>
                <c:formatCode>0.00</c:formatCode>
                <c:ptCount val="24"/>
                <c:pt idx="0">
                  <c:v>359.68</c:v>
                </c:pt>
                <c:pt idx="1">
                  <c:v>15.47</c:v>
                </c:pt>
                <c:pt idx="2">
                  <c:v>30.41</c:v>
                </c:pt>
                <c:pt idx="3">
                  <c:v>44.03</c:v>
                </c:pt>
                <c:pt idx="4">
                  <c:v>56.32</c:v>
                </c:pt>
                <c:pt idx="5">
                  <c:v>67.59</c:v>
                </c:pt>
                <c:pt idx="6">
                  <c:v>78.31</c:v>
                </c:pt>
                <c:pt idx="7">
                  <c:v>89.06</c:v>
                </c:pt>
                <c:pt idx="8">
                  <c:v>100.6</c:v>
                </c:pt>
                <c:pt idx="9">
                  <c:v>113.97</c:v>
                </c:pt>
                <c:pt idx="10">
                  <c:v>130.72</c:v>
                </c:pt>
                <c:pt idx="11">
                  <c:v>152.61000000000001</c:v>
                </c:pt>
                <c:pt idx="12">
                  <c:v>179.47</c:v>
                </c:pt>
                <c:pt idx="13">
                  <c:v>206.44</c:v>
                </c:pt>
                <c:pt idx="14">
                  <c:v>228.52</c:v>
                </c:pt>
                <c:pt idx="15">
                  <c:v>245.41</c:v>
                </c:pt>
                <c:pt idx="16">
                  <c:v>258.86</c:v>
                </c:pt>
                <c:pt idx="17">
                  <c:v>270.63</c:v>
                </c:pt>
                <c:pt idx="18">
                  <c:v>281.37</c:v>
                </c:pt>
                <c:pt idx="19">
                  <c:v>292.06</c:v>
                </c:pt>
                <c:pt idx="20">
                  <c:v>303.27</c:v>
                </c:pt>
                <c:pt idx="21">
                  <c:v>309.23</c:v>
                </c:pt>
                <c:pt idx="22">
                  <c:v>329.04</c:v>
                </c:pt>
                <c:pt idx="23">
                  <c:v>343.92</c:v>
                </c:pt>
              </c:numCache>
            </c:numRef>
          </c:yVal>
        </c:ser>
        <c:ser>
          <c:idx val="9"/>
          <c:order val="9"/>
          <c:tx>
            <c:strRef>
              <c:f>Estimator!$BY$99</c:f>
              <c:strCache>
                <c:ptCount val="1"/>
                <c:pt idx="0">
                  <c:v>ZEN 47</c:v>
                </c:pt>
              </c:strCache>
            </c:strRef>
          </c:tx>
          <c:marker>
            <c:symbol val="none"/>
          </c:marker>
          <c:xVal>
            <c:numRef>
              <c:f>Estimator!$BO$100:$BO$123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Estimator!$BY$100:$BY$123</c:f>
              <c:numCache>
                <c:formatCode>0.00</c:formatCode>
                <c:ptCount val="24"/>
                <c:pt idx="0">
                  <c:v>115.68</c:v>
                </c:pt>
                <c:pt idx="1">
                  <c:v>114.18</c:v>
                </c:pt>
                <c:pt idx="2">
                  <c:v>110.41</c:v>
                </c:pt>
                <c:pt idx="3">
                  <c:v>104.33</c:v>
                </c:pt>
                <c:pt idx="4">
                  <c:v>96.47</c:v>
                </c:pt>
                <c:pt idx="5">
                  <c:v>87.62</c:v>
                </c:pt>
                <c:pt idx="6">
                  <c:v>77.86</c:v>
                </c:pt>
                <c:pt idx="7">
                  <c:v>67.87</c:v>
                </c:pt>
                <c:pt idx="8">
                  <c:v>57.78</c:v>
                </c:pt>
                <c:pt idx="9">
                  <c:v>48.14</c:v>
                </c:pt>
                <c:pt idx="10">
                  <c:v>39.6</c:v>
                </c:pt>
                <c:pt idx="11">
                  <c:v>33.28</c:v>
                </c:pt>
                <c:pt idx="12">
                  <c:v>30.52</c:v>
                </c:pt>
                <c:pt idx="13">
                  <c:v>33.01</c:v>
                </c:pt>
                <c:pt idx="14">
                  <c:v>39.33</c:v>
                </c:pt>
                <c:pt idx="15">
                  <c:v>47.86</c:v>
                </c:pt>
                <c:pt idx="16">
                  <c:v>57.51</c:v>
                </c:pt>
                <c:pt idx="17">
                  <c:v>67.37</c:v>
                </c:pt>
                <c:pt idx="18">
                  <c:v>77.45</c:v>
                </c:pt>
                <c:pt idx="19">
                  <c:v>87.15</c:v>
                </c:pt>
                <c:pt idx="20">
                  <c:v>96.1</c:v>
                </c:pt>
                <c:pt idx="21">
                  <c:v>100.08</c:v>
                </c:pt>
                <c:pt idx="22">
                  <c:v>110.18</c:v>
                </c:pt>
                <c:pt idx="23">
                  <c:v>114.22</c:v>
                </c:pt>
              </c:numCache>
            </c:numRef>
          </c:yVal>
        </c:ser>
        <c:axId val="165393536"/>
        <c:axId val="165395456"/>
      </c:scatterChart>
      <c:valAx>
        <c:axId val="165393536"/>
        <c:scaling>
          <c:orientation val="minMax"/>
        </c:scaling>
        <c:axPos val="b"/>
        <c:title/>
        <c:numFmt formatCode="General" sourceLinked="1"/>
        <c:majorTickMark val="none"/>
        <c:tickLblPos val="nextTo"/>
        <c:crossAx val="165395456"/>
        <c:crosses val="autoZero"/>
        <c:crossBetween val="midCat"/>
      </c:valAx>
      <c:valAx>
        <c:axId val="165395456"/>
        <c:scaling>
          <c:orientation val="minMax"/>
        </c:scaling>
        <c:axPos val="l"/>
        <c:majorGridlines/>
        <c:title/>
        <c:numFmt formatCode="0.00" sourceLinked="1"/>
        <c:majorTickMark val="none"/>
        <c:tickLblPos val="nextTo"/>
        <c:crossAx val="165393536"/>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Fall, Mountain</a:t>
            </a:r>
          </a:p>
        </c:rich>
      </c:tx>
    </c:title>
    <c:plotArea>
      <c:layout/>
      <c:scatterChart>
        <c:scatterStyle val="lineMarker"/>
        <c:ser>
          <c:idx val="0"/>
          <c:order val="0"/>
          <c:tx>
            <c:strRef>
              <c:f>Estimator!$BP$129</c:f>
              <c:strCache>
                <c:ptCount val="1"/>
                <c:pt idx="0">
                  <c:v>AZ 32</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Estimator!$BP$130:$BP$153</c:f>
              <c:numCache>
                <c:formatCode>0.00</c:formatCode>
                <c:ptCount val="24"/>
                <c:pt idx="0">
                  <c:v>18.59</c:v>
                </c:pt>
                <c:pt idx="1">
                  <c:v>53.33</c:v>
                </c:pt>
                <c:pt idx="2">
                  <c:v>71.319999999999993</c:v>
                </c:pt>
                <c:pt idx="3">
                  <c:v>82.51</c:v>
                </c:pt>
                <c:pt idx="4">
                  <c:v>91.05</c:v>
                </c:pt>
                <c:pt idx="5">
                  <c:v>98.65</c:v>
                </c:pt>
                <c:pt idx="6">
                  <c:v>106.22</c:v>
                </c:pt>
                <c:pt idx="7">
                  <c:v>114.44</c:v>
                </c:pt>
                <c:pt idx="8">
                  <c:v>124.01</c:v>
                </c:pt>
                <c:pt idx="9">
                  <c:v>135.72</c:v>
                </c:pt>
                <c:pt idx="10">
                  <c:v>150.35</c:v>
                </c:pt>
                <c:pt idx="11">
                  <c:v>168.04</c:v>
                </c:pt>
                <c:pt idx="12">
                  <c:v>187.36</c:v>
                </c:pt>
                <c:pt idx="13">
                  <c:v>205.63</c:v>
                </c:pt>
                <c:pt idx="14">
                  <c:v>221</c:v>
                </c:pt>
                <c:pt idx="15">
                  <c:v>233.34</c:v>
                </c:pt>
                <c:pt idx="16">
                  <c:v>243.32</c:v>
                </c:pt>
                <c:pt idx="17">
                  <c:v>252.03</c:v>
                </c:pt>
                <c:pt idx="18">
                  <c:v>259.68</c:v>
                </c:pt>
                <c:pt idx="19">
                  <c:v>267.19</c:v>
                </c:pt>
                <c:pt idx="20">
                  <c:v>275.39</c:v>
                </c:pt>
                <c:pt idx="21">
                  <c:v>280.14</c:v>
                </c:pt>
                <c:pt idx="22">
                  <c:v>301.37</c:v>
                </c:pt>
                <c:pt idx="23">
                  <c:v>330.94</c:v>
                </c:pt>
              </c:numCache>
            </c:numRef>
          </c:yVal>
        </c:ser>
        <c:ser>
          <c:idx val="1"/>
          <c:order val="1"/>
          <c:tx>
            <c:strRef>
              <c:f>Estimator!$BQ$129</c:f>
              <c:strCache>
                <c:ptCount val="1"/>
                <c:pt idx="0">
                  <c:v>ZEN 32</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Estimator!$BQ$130:$BQ$153</c:f>
              <c:numCache>
                <c:formatCode>0.00</c:formatCode>
                <c:ptCount val="24"/>
                <c:pt idx="0">
                  <c:v>162.52000000000001</c:v>
                </c:pt>
                <c:pt idx="1">
                  <c:v>154.88</c:v>
                </c:pt>
                <c:pt idx="2">
                  <c:v>143.61000000000001</c:v>
                </c:pt>
                <c:pt idx="3">
                  <c:v>131.25</c:v>
                </c:pt>
                <c:pt idx="4">
                  <c:v>118.6</c:v>
                </c:pt>
                <c:pt idx="5">
                  <c:v>105.97</c:v>
                </c:pt>
                <c:pt idx="6">
                  <c:v>93.59</c:v>
                </c:pt>
                <c:pt idx="7">
                  <c:v>81.69</c:v>
                </c:pt>
                <c:pt idx="8">
                  <c:v>70.66</c:v>
                </c:pt>
                <c:pt idx="9">
                  <c:v>60.89</c:v>
                </c:pt>
                <c:pt idx="10">
                  <c:v>53.27</c:v>
                </c:pt>
                <c:pt idx="11">
                  <c:v>48.78</c:v>
                </c:pt>
                <c:pt idx="12">
                  <c:v>48.04</c:v>
                </c:pt>
                <c:pt idx="13">
                  <c:v>52.03</c:v>
                </c:pt>
                <c:pt idx="14">
                  <c:v>59</c:v>
                </c:pt>
                <c:pt idx="15">
                  <c:v>68.2</c:v>
                </c:pt>
                <c:pt idx="16">
                  <c:v>78.53</c:v>
                </c:pt>
                <c:pt idx="17">
                  <c:v>90.61</c:v>
                </c:pt>
                <c:pt idx="18">
                  <c:v>102.9</c:v>
                </c:pt>
                <c:pt idx="19">
                  <c:v>115.51</c:v>
                </c:pt>
                <c:pt idx="20">
                  <c:v>128.81</c:v>
                </c:pt>
                <c:pt idx="21">
                  <c:v>134.44999999999999</c:v>
                </c:pt>
                <c:pt idx="22">
                  <c:v>152.24</c:v>
                </c:pt>
                <c:pt idx="23">
                  <c:v>161.34</c:v>
                </c:pt>
              </c:numCache>
            </c:numRef>
          </c:yVal>
        </c:ser>
        <c:ser>
          <c:idx val="2"/>
          <c:order val="2"/>
          <c:tx>
            <c:strRef>
              <c:f>Estimator!$BR$129</c:f>
              <c:strCache>
                <c:ptCount val="1"/>
                <c:pt idx="0">
                  <c:v>AZ 36</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Estimator!$BR$130:$BR$153</c:f>
              <c:numCache>
                <c:formatCode>0.00</c:formatCode>
                <c:ptCount val="24"/>
                <c:pt idx="0">
                  <c:v>28.09</c:v>
                </c:pt>
                <c:pt idx="1">
                  <c:v>55.35</c:v>
                </c:pt>
                <c:pt idx="2">
                  <c:v>71.67</c:v>
                </c:pt>
                <c:pt idx="3">
                  <c:v>82.94</c:v>
                </c:pt>
                <c:pt idx="4">
                  <c:v>92.05</c:v>
                </c:pt>
                <c:pt idx="5">
                  <c:v>100.4</c:v>
                </c:pt>
                <c:pt idx="6">
                  <c:v>108.83</c:v>
                </c:pt>
                <c:pt idx="7">
                  <c:v>118.04</c:v>
                </c:pt>
                <c:pt idx="8">
                  <c:v>128.69999999999999</c:v>
                </c:pt>
                <c:pt idx="9">
                  <c:v>141.52000000000001</c:v>
                </c:pt>
                <c:pt idx="10">
                  <c:v>156.96</c:v>
                </c:pt>
                <c:pt idx="11">
                  <c:v>174.68</c:v>
                </c:pt>
                <c:pt idx="12">
                  <c:v>193.02</c:v>
                </c:pt>
                <c:pt idx="13">
                  <c:v>209.88</c:v>
                </c:pt>
                <c:pt idx="14">
                  <c:v>224.17</c:v>
                </c:pt>
                <c:pt idx="15">
                  <c:v>235.97</c:v>
                </c:pt>
                <c:pt idx="16">
                  <c:v>245.91</c:v>
                </c:pt>
                <c:pt idx="17">
                  <c:v>254.93</c:v>
                </c:pt>
                <c:pt idx="18">
                  <c:v>263.23</c:v>
                </c:pt>
                <c:pt idx="19">
                  <c:v>271.77</c:v>
                </c:pt>
                <c:pt idx="20">
                  <c:v>281.55</c:v>
                </c:pt>
                <c:pt idx="21">
                  <c:v>287.43</c:v>
                </c:pt>
                <c:pt idx="22">
                  <c:v>314.47000000000003</c:v>
                </c:pt>
                <c:pt idx="23">
                  <c:v>348.04</c:v>
                </c:pt>
              </c:numCache>
            </c:numRef>
          </c:yVal>
        </c:ser>
        <c:ser>
          <c:idx val="3"/>
          <c:order val="3"/>
          <c:tx>
            <c:strRef>
              <c:f>Estimator!$BS$129</c:f>
              <c:strCache>
                <c:ptCount val="1"/>
                <c:pt idx="0">
                  <c:v>ZEN 36</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Estimator!$BS$130:$BS$153</c:f>
              <c:numCache>
                <c:formatCode>0.00</c:formatCode>
                <c:ptCount val="24"/>
                <c:pt idx="0">
                  <c:v>157.77000000000001</c:v>
                </c:pt>
                <c:pt idx="1">
                  <c:v>149.49</c:v>
                </c:pt>
                <c:pt idx="2">
                  <c:v>138.59</c:v>
                </c:pt>
                <c:pt idx="3">
                  <c:v>126.71</c:v>
                </c:pt>
                <c:pt idx="4">
                  <c:v>114.56</c:v>
                </c:pt>
                <c:pt idx="5">
                  <c:v>102.42</c:v>
                </c:pt>
                <c:pt idx="6">
                  <c:v>90.73</c:v>
                </c:pt>
                <c:pt idx="7">
                  <c:v>79.48</c:v>
                </c:pt>
                <c:pt idx="8">
                  <c:v>69.38</c:v>
                </c:pt>
                <c:pt idx="9">
                  <c:v>60.8</c:v>
                </c:pt>
                <c:pt idx="10">
                  <c:v>54.56</c:v>
                </c:pt>
                <c:pt idx="11">
                  <c:v>51.48</c:v>
                </c:pt>
                <c:pt idx="12">
                  <c:v>52.48</c:v>
                </c:pt>
                <c:pt idx="13">
                  <c:v>56.85</c:v>
                </c:pt>
                <c:pt idx="14">
                  <c:v>64.209999999999994</c:v>
                </c:pt>
                <c:pt idx="15">
                  <c:v>73.56</c:v>
                </c:pt>
                <c:pt idx="16">
                  <c:v>84.23</c:v>
                </c:pt>
                <c:pt idx="17">
                  <c:v>95.55</c:v>
                </c:pt>
                <c:pt idx="18">
                  <c:v>107.51</c:v>
                </c:pt>
                <c:pt idx="19">
                  <c:v>119.66</c:v>
                </c:pt>
                <c:pt idx="20">
                  <c:v>131.75</c:v>
                </c:pt>
                <c:pt idx="21">
                  <c:v>137.65</c:v>
                </c:pt>
                <c:pt idx="22">
                  <c:v>153.46</c:v>
                </c:pt>
                <c:pt idx="23">
                  <c:v>159.5</c:v>
                </c:pt>
              </c:numCache>
            </c:numRef>
          </c:yVal>
        </c:ser>
        <c:ser>
          <c:idx val="4"/>
          <c:order val="4"/>
          <c:tx>
            <c:strRef>
              <c:f>Estimator!$BT$129</c:f>
              <c:strCache>
                <c:ptCount val="1"/>
                <c:pt idx="0">
                  <c:v>AZ 39</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Estimator!$BT$130:$BT$153</c:f>
              <c:numCache>
                <c:formatCode>0.00</c:formatCode>
                <c:ptCount val="24"/>
                <c:pt idx="0">
                  <c:v>18.940000000000001</c:v>
                </c:pt>
                <c:pt idx="1">
                  <c:v>47.09</c:v>
                </c:pt>
                <c:pt idx="2">
                  <c:v>65.56</c:v>
                </c:pt>
                <c:pt idx="3">
                  <c:v>78.510000000000005</c:v>
                </c:pt>
                <c:pt idx="4">
                  <c:v>88.83</c:v>
                </c:pt>
                <c:pt idx="5">
                  <c:v>98.06</c:v>
                </c:pt>
                <c:pt idx="6">
                  <c:v>107.14</c:v>
                </c:pt>
                <c:pt idx="7">
                  <c:v>116.76</c:v>
                </c:pt>
                <c:pt idx="8">
                  <c:v>127.58</c:v>
                </c:pt>
                <c:pt idx="9">
                  <c:v>140.19999999999999</c:v>
                </c:pt>
                <c:pt idx="10">
                  <c:v>155.03</c:v>
                </c:pt>
                <c:pt idx="11">
                  <c:v>171.84</c:v>
                </c:pt>
                <c:pt idx="12">
                  <c:v>189.44</c:v>
                </c:pt>
                <c:pt idx="13">
                  <c:v>206.13</c:v>
                </c:pt>
                <c:pt idx="14">
                  <c:v>220.77</c:v>
                </c:pt>
                <c:pt idx="15">
                  <c:v>233.21</c:v>
                </c:pt>
                <c:pt idx="16">
                  <c:v>243.9</c:v>
                </c:pt>
                <c:pt idx="17">
                  <c:v>253.67</c:v>
                </c:pt>
                <c:pt idx="18">
                  <c:v>262.73</c:v>
                </c:pt>
                <c:pt idx="19">
                  <c:v>271.99</c:v>
                </c:pt>
                <c:pt idx="20">
                  <c:v>282.43</c:v>
                </c:pt>
                <c:pt idx="21">
                  <c:v>288.54000000000002</c:v>
                </c:pt>
                <c:pt idx="22">
                  <c:v>314.66000000000003</c:v>
                </c:pt>
                <c:pt idx="23">
                  <c:v>343.58</c:v>
                </c:pt>
              </c:numCache>
            </c:numRef>
          </c:yVal>
        </c:ser>
        <c:ser>
          <c:idx val="5"/>
          <c:order val="5"/>
          <c:tx>
            <c:strRef>
              <c:f>Estimator!$BU$129</c:f>
              <c:strCache>
                <c:ptCount val="1"/>
                <c:pt idx="0">
                  <c:v>ZEN 39</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Estimator!$BU$130:$BU$153</c:f>
              <c:numCache>
                <c:formatCode>0.00</c:formatCode>
                <c:ptCount val="24"/>
                <c:pt idx="0">
                  <c:v>155.43</c:v>
                </c:pt>
                <c:pt idx="1">
                  <c:v>149</c:v>
                </c:pt>
                <c:pt idx="2">
                  <c:v>139.31</c:v>
                </c:pt>
                <c:pt idx="3">
                  <c:v>128.19999999999999</c:v>
                </c:pt>
                <c:pt idx="4">
                  <c:v>116.69</c:v>
                </c:pt>
                <c:pt idx="5">
                  <c:v>105.06</c:v>
                </c:pt>
                <c:pt idx="6">
                  <c:v>93.82</c:v>
                </c:pt>
                <c:pt idx="7">
                  <c:v>82.91</c:v>
                </c:pt>
                <c:pt idx="8">
                  <c:v>73.11</c:v>
                </c:pt>
                <c:pt idx="9">
                  <c:v>64.709999999999994</c:v>
                </c:pt>
                <c:pt idx="10">
                  <c:v>58.45</c:v>
                </c:pt>
                <c:pt idx="11">
                  <c:v>55.14</c:v>
                </c:pt>
                <c:pt idx="12">
                  <c:v>55.3</c:v>
                </c:pt>
                <c:pt idx="13">
                  <c:v>58.9</c:v>
                </c:pt>
                <c:pt idx="14">
                  <c:v>65.319999999999993</c:v>
                </c:pt>
                <c:pt idx="15">
                  <c:v>73.84</c:v>
                </c:pt>
                <c:pt idx="16">
                  <c:v>83.82</c:v>
                </c:pt>
                <c:pt idx="17">
                  <c:v>94.44</c:v>
                </c:pt>
                <c:pt idx="18">
                  <c:v>105.85</c:v>
                </c:pt>
                <c:pt idx="19">
                  <c:v>117.47</c:v>
                </c:pt>
                <c:pt idx="20">
                  <c:v>129.07</c:v>
                </c:pt>
                <c:pt idx="21">
                  <c:v>134.62</c:v>
                </c:pt>
                <c:pt idx="22">
                  <c:v>149.61000000000001</c:v>
                </c:pt>
                <c:pt idx="23">
                  <c:v>155.65</c:v>
                </c:pt>
              </c:numCache>
            </c:numRef>
          </c:yVal>
        </c:ser>
        <c:ser>
          <c:idx val="6"/>
          <c:order val="6"/>
          <c:tx>
            <c:strRef>
              <c:f>Estimator!$BV$129</c:f>
              <c:strCache>
                <c:ptCount val="1"/>
                <c:pt idx="0">
                  <c:v>AZ 43</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Estimator!$BV$130:$BV$153</c:f>
              <c:numCache>
                <c:formatCode>0.00</c:formatCode>
                <c:ptCount val="24"/>
                <c:pt idx="0">
                  <c:v>16.29</c:v>
                </c:pt>
                <c:pt idx="1">
                  <c:v>42.65</c:v>
                </c:pt>
                <c:pt idx="2">
                  <c:v>61.58</c:v>
                </c:pt>
                <c:pt idx="3">
                  <c:v>75.53</c:v>
                </c:pt>
                <c:pt idx="4">
                  <c:v>86.83</c:v>
                </c:pt>
                <c:pt idx="5">
                  <c:v>96.93</c:v>
                </c:pt>
                <c:pt idx="6">
                  <c:v>106.76</c:v>
                </c:pt>
                <c:pt idx="7">
                  <c:v>117.01</c:v>
                </c:pt>
                <c:pt idx="8">
                  <c:v>128.28</c:v>
                </c:pt>
                <c:pt idx="9">
                  <c:v>141.09</c:v>
                </c:pt>
                <c:pt idx="10">
                  <c:v>155.74</c:v>
                </c:pt>
                <c:pt idx="11">
                  <c:v>171.99</c:v>
                </c:pt>
                <c:pt idx="12">
                  <c:v>188.86</c:v>
                </c:pt>
                <c:pt idx="13">
                  <c:v>205.04</c:v>
                </c:pt>
                <c:pt idx="14">
                  <c:v>219.57</c:v>
                </c:pt>
                <c:pt idx="15">
                  <c:v>232.28</c:v>
                </c:pt>
                <c:pt idx="16">
                  <c:v>243.46</c:v>
                </c:pt>
                <c:pt idx="17">
                  <c:v>253.88</c:v>
                </c:pt>
                <c:pt idx="18">
                  <c:v>263.69</c:v>
                </c:pt>
                <c:pt idx="19">
                  <c:v>273.81</c:v>
                </c:pt>
                <c:pt idx="20">
                  <c:v>285.19</c:v>
                </c:pt>
                <c:pt idx="21">
                  <c:v>291.77999999999997</c:v>
                </c:pt>
                <c:pt idx="22">
                  <c:v>318.55</c:v>
                </c:pt>
                <c:pt idx="23">
                  <c:v>345.27</c:v>
                </c:pt>
              </c:numCache>
            </c:numRef>
          </c:yVal>
        </c:ser>
        <c:ser>
          <c:idx val="7"/>
          <c:order val="7"/>
          <c:tx>
            <c:strRef>
              <c:f>Estimator!$BW$129</c:f>
              <c:strCache>
                <c:ptCount val="1"/>
                <c:pt idx="0">
                  <c:v>ZEN 43</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Estimator!$BW$130:$BW$153</c:f>
              <c:numCache>
                <c:formatCode>0.00</c:formatCode>
                <c:ptCount val="24"/>
                <c:pt idx="0">
                  <c:v>151.61000000000001</c:v>
                </c:pt>
                <c:pt idx="1">
                  <c:v>146.41</c:v>
                </c:pt>
                <c:pt idx="2">
                  <c:v>137.66</c:v>
                </c:pt>
                <c:pt idx="3">
                  <c:v>127.48</c:v>
                </c:pt>
                <c:pt idx="4">
                  <c:v>116.61</c:v>
                </c:pt>
                <c:pt idx="5">
                  <c:v>105.66</c:v>
                </c:pt>
                <c:pt idx="6">
                  <c:v>94.95</c:v>
                </c:pt>
                <c:pt idx="7">
                  <c:v>84.77</c:v>
                </c:pt>
                <c:pt idx="8">
                  <c:v>75.58</c:v>
                </c:pt>
                <c:pt idx="9">
                  <c:v>67.7</c:v>
                </c:pt>
                <c:pt idx="10">
                  <c:v>61.93</c:v>
                </c:pt>
                <c:pt idx="11">
                  <c:v>58.89</c:v>
                </c:pt>
                <c:pt idx="12">
                  <c:v>58.85</c:v>
                </c:pt>
                <c:pt idx="13">
                  <c:v>62.21</c:v>
                </c:pt>
                <c:pt idx="14">
                  <c:v>68.09</c:v>
                </c:pt>
                <c:pt idx="15">
                  <c:v>76.040000000000006</c:v>
                </c:pt>
                <c:pt idx="16">
                  <c:v>85.32</c:v>
                </c:pt>
                <c:pt idx="17">
                  <c:v>95.39</c:v>
                </c:pt>
                <c:pt idx="18">
                  <c:v>106.15</c:v>
                </c:pt>
                <c:pt idx="19">
                  <c:v>117.14</c:v>
                </c:pt>
                <c:pt idx="20">
                  <c:v>127.99</c:v>
                </c:pt>
                <c:pt idx="21">
                  <c:v>133.27000000000001</c:v>
                </c:pt>
                <c:pt idx="22">
                  <c:v>146.83000000000001</c:v>
                </c:pt>
                <c:pt idx="23">
                  <c:v>152.03</c:v>
                </c:pt>
              </c:numCache>
            </c:numRef>
          </c:yVal>
        </c:ser>
        <c:ser>
          <c:idx val="8"/>
          <c:order val="8"/>
          <c:tx>
            <c:strRef>
              <c:f>Estimator!$BX$129</c:f>
              <c:strCache>
                <c:ptCount val="1"/>
                <c:pt idx="0">
                  <c:v>AZ 47</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Estimator!$BX$130:$BX$153</c:f>
              <c:numCache>
                <c:formatCode>0.00</c:formatCode>
                <c:ptCount val="24"/>
                <c:pt idx="0">
                  <c:v>9.61</c:v>
                </c:pt>
                <c:pt idx="1">
                  <c:v>34.58</c:v>
                </c:pt>
                <c:pt idx="2">
                  <c:v>54.42</c:v>
                </c:pt>
                <c:pt idx="3">
                  <c:v>69.84</c:v>
                </c:pt>
                <c:pt idx="4">
                  <c:v>82.51</c:v>
                </c:pt>
                <c:pt idx="5">
                  <c:v>93.75</c:v>
                </c:pt>
                <c:pt idx="6">
                  <c:v>104.47</c:v>
                </c:pt>
                <c:pt idx="7">
                  <c:v>115.38</c:v>
                </c:pt>
                <c:pt idx="8">
                  <c:v>127.02</c:v>
                </c:pt>
                <c:pt idx="9">
                  <c:v>139.83000000000001</c:v>
                </c:pt>
                <c:pt idx="10">
                  <c:v>154.07</c:v>
                </c:pt>
                <c:pt idx="11">
                  <c:v>169.59</c:v>
                </c:pt>
                <c:pt idx="12">
                  <c:v>185.71</c:v>
                </c:pt>
                <c:pt idx="13">
                  <c:v>201.49</c:v>
                </c:pt>
                <c:pt idx="14">
                  <c:v>216.12</c:v>
                </c:pt>
                <c:pt idx="15">
                  <c:v>229.33</c:v>
                </c:pt>
                <c:pt idx="16">
                  <c:v>241.25</c:v>
                </c:pt>
                <c:pt idx="17">
                  <c:v>252.5</c:v>
                </c:pt>
                <c:pt idx="18">
                  <c:v>263.20999999999998</c:v>
                </c:pt>
                <c:pt idx="19">
                  <c:v>274.2</c:v>
                </c:pt>
                <c:pt idx="20">
                  <c:v>286.32</c:v>
                </c:pt>
                <c:pt idx="21">
                  <c:v>293.16000000000003</c:v>
                </c:pt>
                <c:pt idx="22">
                  <c:v>319.11</c:v>
                </c:pt>
                <c:pt idx="23">
                  <c:v>342.66</c:v>
                </c:pt>
              </c:numCache>
            </c:numRef>
          </c:yVal>
        </c:ser>
        <c:ser>
          <c:idx val="9"/>
          <c:order val="9"/>
          <c:tx>
            <c:strRef>
              <c:f>Estimator!$BY$129</c:f>
              <c:strCache>
                <c:ptCount val="1"/>
                <c:pt idx="0">
                  <c:v>ZEN 47</c:v>
                </c:pt>
              </c:strCache>
            </c:strRef>
          </c:tx>
          <c:marker>
            <c:symbol val="none"/>
          </c:marker>
          <c:xVal>
            <c:numRef>
              <c:f>Estimator!$BO$130:$BO$153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Estimator!$BY$130:$BY$153</c:f>
              <c:numCache>
                <c:formatCode>0.00</c:formatCode>
                <c:ptCount val="24"/>
                <c:pt idx="0">
                  <c:v>147.72999999999999</c:v>
                </c:pt>
                <c:pt idx="1">
                  <c:v>144.30000000000001</c:v>
                </c:pt>
                <c:pt idx="2">
                  <c:v>133.72999999999999</c:v>
                </c:pt>
                <c:pt idx="3">
                  <c:v>127.9</c:v>
                </c:pt>
                <c:pt idx="4">
                  <c:v>118.04</c:v>
                </c:pt>
                <c:pt idx="5">
                  <c:v>107.92</c:v>
                </c:pt>
                <c:pt idx="6">
                  <c:v>97.99</c:v>
                </c:pt>
                <c:pt idx="7">
                  <c:v>88.45</c:v>
                </c:pt>
                <c:pt idx="8">
                  <c:v>79.790000000000006</c:v>
                </c:pt>
                <c:pt idx="9">
                  <c:v>72.44</c:v>
                </c:pt>
                <c:pt idx="10">
                  <c:v>66.930000000000007</c:v>
                </c:pt>
                <c:pt idx="11">
                  <c:v>63.76</c:v>
                </c:pt>
                <c:pt idx="12">
                  <c:v>63.38</c:v>
                </c:pt>
                <c:pt idx="13">
                  <c:v>65.75</c:v>
                </c:pt>
                <c:pt idx="14">
                  <c:v>70.64</c:v>
                </c:pt>
                <c:pt idx="15">
                  <c:v>77.56</c:v>
                </c:pt>
                <c:pt idx="16">
                  <c:v>85.88</c:v>
                </c:pt>
                <c:pt idx="17">
                  <c:v>94.99</c:v>
                </c:pt>
                <c:pt idx="18">
                  <c:v>104.88</c:v>
                </c:pt>
                <c:pt idx="19">
                  <c:v>115.01</c:v>
                </c:pt>
                <c:pt idx="20">
                  <c:v>125</c:v>
                </c:pt>
                <c:pt idx="21">
                  <c:v>129.76</c:v>
                </c:pt>
                <c:pt idx="22">
                  <c:v>142.06</c:v>
                </c:pt>
                <c:pt idx="23">
                  <c:v>147.02000000000001</c:v>
                </c:pt>
              </c:numCache>
            </c:numRef>
          </c:yVal>
        </c:ser>
        <c:axId val="165480704"/>
        <c:axId val="165495168"/>
      </c:scatterChart>
      <c:valAx>
        <c:axId val="165480704"/>
        <c:scaling>
          <c:orientation val="minMax"/>
        </c:scaling>
        <c:axPos val="b"/>
        <c:title/>
        <c:numFmt formatCode="General" sourceLinked="1"/>
        <c:majorTickMark val="none"/>
        <c:tickLblPos val="nextTo"/>
        <c:crossAx val="165495168"/>
        <c:crosses val="autoZero"/>
        <c:crossBetween val="midCat"/>
      </c:valAx>
      <c:valAx>
        <c:axId val="165495168"/>
        <c:scaling>
          <c:orientation val="minMax"/>
        </c:scaling>
        <c:axPos val="l"/>
        <c:majorGridlines/>
        <c:title/>
        <c:numFmt formatCode="0.00" sourceLinked="1"/>
        <c:majorTickMark val="none"/>
        <c:tickLblPos val="nextTo"/>
        <c:crossAx val="165480704"/>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Winter_Pacific</a:t>
            </a:r>
          </a:p>
        </c:rich>
      </c:tx>
      <c:layout/>
    </c:title>
    <c:plotArea>
      <c:layout/>
      <c:scatterChart>
        <c:scatterStyle val="lineMarker"/>
        <c:ser>
          <c:idx val="0"/>
          <c:order val="0"/>
          <c:tx>
            <c:strRef>
              <c:f>Estimator!$CA$39</c:f>
              <c:strCache>
                <c:ptCount val="1"/>
                <c:pt idx="0">
                  <c:v>AZ 33</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Estimator!$CA$40:$CA$63</c:f>
              <c:numCache>
                <c:formatCode>0.00</c:formatCode>
                <c:ptCount val="24"/>
                <c:pt idx="0">
                  <c:v>22.49</c:v>
                </c:pt>
                <c:pt idx="1">
                  <c:v>55.61</c:v>
                </c:pt>
                <c:pt idx="2">
                  <c:v>72.77</c:v>
                </c:pt>
                <c:pt idx="3">
                  <c:v>83.65</c:v>
                </c:pt>
                <c:pt idx="4">
                  <c:v>92.1</c:v>
                </c:pt>
                <c:pt idx="5">
                  <c:v>99.71</c:v>
                </c:pt>
                <c:pt idx="6">
                  <c:v>107.36</c:v>
                </c:pt>
                <c:pt idx="7">
                  <c:v>115.72</c:v>
                </c:pt>
                <c:pt idx="8">
                  <c:v>125.46</c:v>
                </c:pt>
                <c:pt idx="9">
                  <c:v>137.36000000000001</c:v>
                </c:pt>
                <c:pt idx="10">
                  <c:v>152.12</c:v>
                </c:pt>
                <c:pt idx="11">
                  <c:v>169.74</c:v>
                </c:pt>
                <c:pt idx="12">
                  <c:v>188.73</c:v>
                </c:pt>
                <c:pt idx="13">
                  <c:v>206.55</c:v>
                </c:pt>
                <c:pt idx="14">
                  <c:v>221.58</c:v>
                </c:pt>
                <c:pt idx="15">
                  <c:v>233.72</c:v>
                </c:pt>
                <c:pt idx="16">
                  <c:v>243.42</c:v>
                </c:pt>
                <c:pt idx="17">
                  <c:v>251.87</c:v>
                </c:pt>
                <c:pt idx="18">
                  <c:v>259.57</c:v>
                </c:pt>
                <c:pt idx="19">
                  <c:v>267.17</c:v>
                </c:pt>
                <c:pt idx="20">
                  <c:v>275.52</c:v>
                </c:pt>
                <c:pt idx="21">
                  <c:v>280.39</c:v>
                </c:pt>
                <c:pt idx="22">
                  <c:v>302.54000000000002</c:v>
                </c:pt>
                <c:pt idx="23">
                  <c:v>333.97</c:v>
                </c:pt>
              </c:numCache>
            </c:numRef>
          </c:yVal>
        </c:ser>
        <c:ser>
          <c:idx val="1"/>
          <c:order val="1"/>
          <c:tx>
            <c:strRef>
              <c:f>Estimator!$CB$39</c:f>
              <c:strCache>
                <c:ptCount val="1"/>
                <c:pt idx="0">
                  <c:v>ZEN 33</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Estimator!$CB$40:$CB$63</c:f>
              <c:numCache>
                <c:formatCode>0.00</c:formatCode>
                <c:ptCount val="24"/>
                <c:pt idx="0">
                  <c:v>162.47</c:v>
                </c:pt>
                <c:pt idx="1">
                  <c:v>154.27000000000001</c:v>
                </c:pt>
                <c:pt idx="2">
                  <c:v>142.88999999999999</c:v>
                </c:pt>
                <c:pt idx="3">
                  <c:v>130.53</c:v>
                </c:pt>
                <c:pt idx="4">
                  <c:v>117.92</c:v>
                </c:pt>
                <c:pt idx="5">
                  <c:v>105.47</c:v>
                </c:pt>
                <c:pt idx="6">
                  <c:v>93.15</c:v>
                </c:pt>
                <c:pt idx="7">
                  <c:v>81.400000000000006</c:v>
                </c:pt>
                <c:pt idx="8">
                  <c:v>70.62</c:v>
                </c:pt>
                <c:pt idx="9">
                  <c:v>61.06</c:v>
                </c:pt>
                <c:pt idx="10">
                  <c:v>53.71</c:v>
                </c:pt>
                <c:pt idx="11">
                  <c:v>49.57</c:v>
                </c:pt>
                <c:pt idx="12">
                  <c:v>49.34</c:v>
                </c:pt>
                <c:pt idx="13">
                  <c:v>53.21</c:v>
                </c:pt>
                <c:pt idx="14">
                  <c:v>60.28</c:v>
                </c:pt>
                <c:pt idx="15">
                  <c:v>69.569999999999993</c:v>
                </c:pt>
                <c:pt idx="16">
                  <c:v>80.59</c:v>
                </c:pt>
                <c:pt idx="17">
                  <c:v>92.26</c:v>
                </c:pt>
                <c:pt idx="18">
                  <c:v>104.4</c:v>
                </c:pt>
                <c:pt idx="19">
                  <c:v>116.97</c:v>
                </c:pt>
                <c:pt idx="20">
                  <c:v>129.59</c:v>
                </c:pt>
                <c:pt idx="21">
                  <c:v>135.83000000000001</c:v>
                </c:pt>
                <c:pt idx="22">
                  <c:v>153.41</c:v>
                </c:pt>
                <c:pt idx="23">
                  <c:v>161.9</c:v>
                </c:pt>
              </c:numCache>
            </c:numRef>
          </c:yVal>
        </c:ser>
        <c:ser>
          <c:idx val="2"/>
          <c:order val="2"/>
          <c:tx>
            <c:strRef>
              <c:f>Estimator!$CC$39</c:f>
              <c:strCache>
                <c:ptCount val="1"/>
                <c:pt idx="0">
                  <c:v>AZ 37</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Estimator!$CC$40:$CC$63</c:f>
              <c:numCache>
                <c:formatCode>0.00</c:formatCode>
                <c:ptCount val="24"/>
                <c:pt idx="0">
                  <c:v>11.58</c:v>
                </c:pt>
                <c:pt idx="1">
                  <c:v>44.98</c:v>
                </c:pt>
                <c:pt idx="2">
                  <c:v>65.22</c:v>
                </c:pt>
                <c:pt idx="3">
                  <c:v>78.36</c:v>
                </c:pt>
                <c:pt idx="4">
                  <c:v>88.37</c:v>
                </c:pt>
                <c:pt idx="5">
                  <c:v>97.1</c:v>
                </c:pt>
                <c:pt idx="6">
                  <c:v>105.58</c:v>
                </c:pt>
                <c:pt idx="7">
                  <c:v>114.53</c:v>
                </c:pt>
                <c:pt idx="8">
                  <c:v>124.59</c:v>
                </c:pt>
                <c:pt idx="9">
                  <c:v>136.43</c:v>
                </c:pt>
                <c:pt idx="10">
                  <c:v>150.61000000000001</c:v>
                </c:pt>
                <c:pt idx="11">
                  <c:v>167.18</c:v>
                </c:pt>
                <c:pt idx="12">
                  <c:v>185.09</c:v>
                </c:pt>
                <c:pt idx="13">
                  <c:v>202.45</c:v>
                </c:pt>
                <c:pt idx="14">
                  <c:v>217.74</c:v>
                </c:pt>
                <c:pt idx="15">
                  <c:v>230.57</c:v>
                </c:pt>
                <c:pt idx="16">
                  <c:v>241.15</c:v>
                </c:pt>
                <c:pt idx="17">
                  <c:v>250.51</c:v>
                </c:pt>
                <c:pt idx="18">
                  <c:v>259.12</c:v>
                </c:pt>
                <c:pt idx="19">
                  <c:v>267.64999999999998</c:v>
                </c:pt>
                <c:pt idx="20">
                  <c:v>276.95999999999998</c:v>
                </c:pt>
                <c:pt idx="21">
                  <c:v>282.3</c:v>
                </c:pt>
                <c:pt idx="22">
                  <c:v>304.92</c:v>
                </c:pt>
                <c:pt idx="23">
                  <c:v>332.11</c:v>
                </c:pt>
              </c:numCache>
            </c:numRef>
          </c:yVal>
        </c:ser>
        <c:ser>
          <c:idx val="3"/>
          <c:order val="3"/>
          <c:tx>
            <c:strRef>
              <c:f>Estimator!$CD$39</c:f>
              <c:strCache>
                <c:ptCount val="1"/>
                <c:pt idx="0">
                  <c:v>ZEN 37</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Estimator!$CD$40:$CD$63</c:f>
              <c:numCache>
                <c:formatCode>0.00</c:formatCode>
                <c:ptCount val="24"/>
                <c:pt idx="0">
                  <c:v>159.29</c:v>
                </c:pt>
                <c:pt idx="1">
                  <c:v>153.4</c:v>
                </c:pt>
                <c:pt idx="2">
                  <c:v>143.5</c:v>
                </c:pt>
                <c:pt idx="3">
                  <c:v>132.08000000000001</c:v>
                </c:pt>
                <c:pt idx="4">
                  <c:v>120.16</c:v>
                </c:pt>
                <c:pt idx="5">
                  <c:v>108.16</c:v>
                </c:pt>
                <c:pt idx="6">
                  <c:v>96.3</c:v>
                </c:pt>
                <c:pt idx="7">
                  <c:v>85.08</c:v>
                </c:pt>
                <c:pt idx="8">
                  <c:v>74.55</c:v>
                </c:pt>
                <c:pt idx="9">
                  <c:v>65.430000000000007</c:v>
                </c:pt>
                <c:pt idx="10">
                  <c:v>58.3</c:v>
                </c:pt>
                <c:pt idx="11">
                  <c:v>53.93</c:v>
                </c:pt>
                <c:pt idx="12">
                  <c:v>53.11</c:v>
                </c:pt>
                <c:pt idx="13">
                  <c:v>56.02</c:v>
                </c:pt>
                <c:pt idx="14">
                  <c:v>61.99</c:v>
                </c:pt>
                <c:pt idx="15">
                  <c:v>70.400000000000006</c:v>
                </c:pt>
                <c:pt idx="16">
                  <c:v>80.53</c:v>
                </c:pt>
                <c:pt idx="17">
                  <c:v>91.5</c:v>
                </c:pt>
                <c:pt idx="18">
                  <c:v>103.02</c:v>
                </c:pt>
                <c:pt idx="19">
                  <c:v>115.01</c:v>
                </c:pt>
                <c:pt idx="20">
                  <c:v>126.99</c:v>
                </c:pt>
                <c:pt idx="21">
                  <c:v>132.91</c:v>
                </c:pt>
                <c:pt idx="22">
                  <c:v>149.44</c:v>
                </c:pt>
                <c:pt idx="23">
                  <c:v>157.53</c:v>
                </c:pt>
              </c:numCache>
            </c:numRef>
          </c:yVal>
        </c:ser>
        <c:ser>
          <c:idx val="4"/>
          <c:order val="4"/>
          <c:tx>
            <c:strRef>
              <c:f>Estimator!$CE$39</c:f>
              <c:strCache>
                <c:ptCount val="1"/>
                <c:pt idx="0">
                  <c:v>AZ 39</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Estimator!$CE$40:$CE$63</c:f>
              <c:numCache>
                <c:formatCode>0.00</c:formatCode>
                <c:ptCount val="24"/>
                <c:pt idx="0">
                  <c:v>21.84</c:v>
                </c:pt>
                <c:pt idx="1">
                  <c:v>49.44</c:v>
                </c:pt>
                <c:pt idx="2">
                  <c:v>67.33</c:v>
                </c:pt>
                <c:pt idx="3">
                  <c:v>79.930000000000007</c:v>
                </c:pt>
                <c:pt idx="4">
                  <c:v>90.08</c:v>
                </c:pt>
                <c:pt idx="5">
                  <c:v>99.24</c:v>
                </c:pt>
                <c:pt idx="6">
                  <c:v>108.31</c:v>
                </c:pt>
                <c:pt idx="7">
                  <c:v>117.98</c:v>
                </c:pt>
                <c:pt idx="8">
                  <c:v>128.88</c:v>
                </c:pt>
                <c:pt idx="9">
                  <c:v>141.58000000000001</c:v>
                </c:pt>
                <c:pt idx="10">
                  <c:v>156.44999999999999</c:v>
                </c:pt>
                <c:pt idx="11">
                  <c:v>173.2</c:v>
                </c:pt>
                <c:pt idx="12">
                  <c:v>190.61</c:v>
                </c:pt>
                <c:pt idx="13">
                  <c:v>207.03</c:v>
                </c:pt>
                <c:pt idx="14">
                  <c:v>221.44</c:v>
                </c:pt>
                <c:pt idx="15">
                  <c:v>233.73</c:v>
                </c:pt>
                <c:pt idx="16">
                  <c:v>244.12</c:v>
                </c:pt>
                <c:pt idx="17">
                  <c:v>253.61</c:v>
                </c:pt>
                <c:pt idx="18">
                  <c:v>262.64999999999998</c:v>
                </c:pt>
                <c:pt idx="19">
                  <c:v>271.95</c:v>
                </c:pt>
                <c:pt idx="20">
                  <c:v>282.5</c:v>
                </c:pt>
                <c:pt idx="21">
                  <c:v>288.72000000000003</c:v>
                </c:pt>
                <c:pt idx="22">
                  <c:v>315.66000000000003</c:v>
                </c:pt>
                <c:pt idx="23">
                  <c:v>345.82</c:v>
                </c:pt>
              </c:numCache>
            </c:numRef>
          </c:yVal>
        </c:ser>
        <c:ser>
          <c:idx val="5"/>
          <c:order val="5"/>
          <c:tx>
            <c:strRef>
              <c:f>Estimator!$CF$39</c:f>
              <c:strCache>
                <c:ptCount val="1"/>
                <c:pt idx="0">
                  <c:v>ZEN 39</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Estimator!$CF$40:$CF$63</c:f>
              <c:numCache>
                <c:formatCode>0.00</c:formatCode>
                <c:ptCount val="24"/>
                <c:pt idx="0">
                  <c:v>155.62</c:v>
                </c:pt>
                <c:pt idx="1">
                  <c:v>148.96</c:v>
                </c:pt>
                <c:pt idx="2">
                  <c:v>138.91</c:v>
                </c:pt>
                <c:pt idx="3">
                  <c:v>128.12</c:v>
                </c:pt>
                <c:pt idx="4">
                  <c:v>116.24</c:v>
                </c:pt>
                <c:pt idx="5">
                  <c:v>104.43</c:v>
                </c:pt>
                <c:pt idx="6">
                  <c:v>93.41</c:v>
                </c:pt>
                <c:pt idx="7">
                  <c:v>82.69</c:v>
                </c:pt>
                <c:pt idx="8">
                  <c:v>73</c:v>
                </c:pt>
                <c:pt idx="9">
                  <c:v>64.83</c:v>
                </c:pt>
                <c:pt idx="10">
                  <c:v>58.78</c:v>
                </c:pt>
                <c:pt idx="11">
                  <c:v>55.76</c:v>
                </c:pt>
                <c:pt idx="12">
                  <c:v>56.06</c:v>
                </c:pt>
                <c:pt idx="13">
                  <c:v>59.83</c:v>
                </c:pt>
                <c:pt idx="14">
                  <c:v>66.37</c:v>
                </c:pt>
                <c:pt idx="15">
                  <c:v>74.97</c:v>
                </c:pt>
                <c:pt idx="16">
                  <c:v>85.14</c:v>
                </c:pt>
                <c:pt idx="17">
                  <c:v>95.92</c:v>
                </c:pt>
                <c:pt idx="18">
                  <c:v>107.27</c:v>
                </c:pt>
                <c:pt idx="19">
                  <c:v>118.87</c:v>
                </c:pt>
                <c:pt idx="20">
                  <c:v>130.37</c:v>
                </c:pt>
                <c:pt idx="21">
                  <c:v>135.91999999999999</c:v>
                </c:pt>
                <c:pt idx="22">
                  <c:v>150.75</c:v>
                </c:pt>
                <c:pt idx="23">
                  <c:v>156.54</c:v>
                </c:pt>
              </c:numCache>
            </c:numRef>
          </c:yVal>
        </c:ser>
        <c:ser>
          <c:idx val="6"/>
          <c:order val="6"/>
          <c:tx>
            <c:strRef>
              <c:f>Estimator!$CG$39</c:f>
              <c:strCache>
                <c:ptCount val="1"/>
                <c:pt idx="0">
                  <c:v>AZ 43</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Estimator!$CG$40:$CG$63</c:f>
              <c:numCache>
                <c:formatCode>0.00</c:formatCode>
                <c:ptCount val="24"/>
                <c:pt idx="0">
                  <c:v>1.47</c:v>
                </c:pt>
                <c:pt idx="1">
                  <c:v>31.25</c:v>
                </c:pt>
                <c:pt idx="2">
                  <c:v>53.66</c:v>
                </c:pt>
                <c:pt idx="3">
                  <c:v>69.67</c:v>
                </c:pt>
                <c:pt idx="4">
                  <c:v>82.02</c:v>
                </c:pt>
                <c:pt idx="5">
                  <c:v>92.57</c:v>
                </c:pt>
                <c:pt idx="6">
                  <c:v>102.45</c:v>
                </c:pt>
                <c:pt idx="7">
                  <c:v>112.44</c:v>
                </c:pt>
                <c:pt idx="8">
                  <c:v>123.15</c:v>
                </c:pt>
                <c:pt idx="9">
                  <c:v>135.13999999999999</c:v>
                </c:pt>
                <c:pt idx="10">
                  <c:v>148.81</c:v>
                </c:pt>
                <c:pt idx="11">
                  <c:v>164.22</c:v>
                </c:pt>
                <c:pt idx="12">
                  <c:v>180.76</c:v>
                </c:pt>
                <c:pt idx="13">
                  <c:v>197.24</c:v>
                </c:pt>
                <c:pt idx="14">
                  <c:v>212.52</c:v>
                </c:pt>
                <c:pt idx="15">
                  <c:v>226.05</c:v>
                </c:pt>
                <c:pt idx="16">
                  <c:v>237.76</c:v>
                </c:pt>
                <c:pt idx="17">
                  <c:v>248.38</c:v>
                </c:pt>
                <c:pt idx="18">
                  <c:v>258.33999999999997</c:v>
                </c:pt>
                <c:pt idx="19">
                  <c:v>268.26</c:v>
                </c:pt>
                <c:pt idx="20">
                  <c:v>278.93</c:v>
                </c:pt>
                <c:pt idx="21">
                  <c:v>284.89999999999998</c:v>
                </c:pt>
                <c:pt idx="22">
                  <c:v>308.05</c:v>
                </c:pt>
                <c:pt idx="23">
                  <c:v>331.21</c:v>
                </c:pt>
              </c:numCache>
            </c:numRef>
          </c:yVal>
        </c:ser>
        <c:ser>
          <c:idx val="7"/>
          <c:order val="7"/>
          <c:tx>
            <c:strRef>
              <c:f>Estimator!$CH$39</c:f>
              <c:strCache>
                <c:ptCount val="1"/>
                <c:pt idx="0">
                  <c:v>ZEN 43</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Estimator!$CH$40:$CH$63</c:f>
              <c:numCache>
                <c:formatCode>0.00</c:formatCode>
                <c:ptCount val="24"/>
                <c:pt idx="0">
                  <c:v>153.12</c:v>
                </c:pt>
                <c:pt idx="1">
                  <c:v>149.99</c:v>
                </c:pt>
                <c:pt idx="2">
                  <c:v>142.56</c:v>
                </c:pt>
                <c:pt idx="3">
                  <c:v>132.91</c:v>
                </c:pt>
                <c:pt idx="4">
                  <c:v>122.33</c:v>
                </c:pt>
                <c:pt idx="5">
                  <c:v>111.36</c:v>
                </c:pt>
                <c:pt idx="6">
                  <c:v>100.59</c:v>
                </c:pt>
                <c:pt idx="7">
                  <c:v>90.12</c:v>
                </c:pt>
                <c:pt idx="8">
                  <c:v>80.48</c:v>
                </c:pt>
                <c:pt idx="9">
                  <c:v>71.989999999999995</c:v>
                </c:pt>
                <c:pt idx="10">
                  <c:v>65.31</c:v>
                </c:pt>
                <c:pt idx="11">
                  <c:v>61.07</c:v>
                </c:pt>
                <c:pt idx="12">
                  <c:v>59.38</c:v>
                </c:pt>
                <c:pt idx="13">
                  <c:v>61.11</c:v>
                </c:pt>
                <c:pt idx="14">
                  <c:v>65.7</c:v>
                </c:pt>
                <c:pt idx="15">
                  <c:v>72.61</c:v>
                </c:pt>
                <c:pt idx="16">
                  <c:v>81.459999999999994</c:v>
                </c:pt>
                <c:pt idx="17">
                  <c:v>91.17</c:v>
                </c:pt>
                <c:pt idx="18">
                  <c:v>101.67</c:v>
                </c:pt>
                <c:pt idx="19">
                  <c:v>112.26</c:v>
                </c:pt>
                <c:pt idx="20">
                  <c:v>123.38</c:v>
                </c:pt>
                <c:pt idx="21">
                  <c:v>128.71</c:v>
                </c:pt>
                <c:pt idx="22">
                  <c:v>143.38999999999999</c:v>
                </c:pt>
                <c:pt idx="23">
                  <c:v>150.44</c:v>
                </c:pt>
              </c:numCache>
            </c:numRef>
          </c:yVal>
        </c:ser>
        <c:ser>
          <c:idx val="8"/>
          <c:order val="8"/>
          <c:tx>
            <c:strRef>
              <c:f>Estimator!$CI$39</c:f>
              <c:strCache>
                <c:ptCount val="1"/>
                <c:pt idx="0">
                  <c:v>AZ 48</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Estimator!$CI$40:$CI$63</c:f>
              <c:numCache>
                <c:formatCode>0.00</c:formatCode>
                <c:ptCount val="24"/>
                <c:pt idx="0">
                  <c:v>3.16</c:v>
                </c:pt>
                <c:pt idx="1">
                  <c:v>29.43</c:v>
                </c:pt>
                <c:pt idx="2">
                  <c:v>50.66</c:v>
                </c:pt>
                <c:pt idx="3">
                  <c:v>66.989999999999995</c:v>
                </c:pt>
                <c:pt idx="4">
                  <c:v>80.150000000000006</c:v>
                </c:pt>
                <c:pt idx="5">
                  <c:v>91.6</c:v>
                </c:pt>
                <c:pt idx="6">
                  <c:v>102.34</c:v>
                </c:pt>
                <c:pt idx="7">
                  <c:v>113.11</c:v>
                </c:pt>
                <c:pt idx="8">
                  <c:v>124.49</c:v>
                </c:pt>
                <c:pt idx="9">
                  <c:v>136.93</c:v>
                </c:pt>
                <c:pt idx="10">
                  <c:v>150.74</c:v>
                </c:pt>
                <c:pt idx="11">
                  <c:v>165.88</c:v>
                </c:pt>
                <c:pt idx="12">
                  <c:v>181.82</c:v>
                </c:pt>
                <c:pt idx="13">
                  <c:v>197.65</c:v>
                </c:pt>
                <c:pt idx="14">
                  <c:v>212.53</c:v>
                </c:pt>
                <c:pt idx="15">
                  <c:v>226.04</c:v>
                </c:pt>
                <c:pt idx="16">
                  <c:v>238.07</c:v>
                </c:pt>
                <c:pt idx="17">
                  <c:v>249.26</c:v>
                </c:pt>
                <c:pt idx="18">
                  <c:v>259.98</c:v>
                </c:pt>
                <c:pt idx="19">
                  <c:v>270.83</c:v>
                </c:pt>
                <c:pt idx="20">
                  <c:v>282.58</c:v>
                </c:pt>
                <c:pt idx="21">
                  <c:v>289.12</c:v>
                </c:pt>
                <c:pt idx="22">
                  <c:v>313.64999999999998</c:v>
                </c:pt>
                <c:pt idx="23">
                  <c:v>336.18</c:v>
                </c:pt>
              </c:numCache>
            </c:numRef>
          </c:yVal>
        </c:ser>
        <c:ser>
          <c:idx val="9"/>
          <c:order val="9"/>
          <c:tx>
            <c:strRef>
              <c:f>Estimator!$CJ$39</c:f>
              <c:strCache>
                <c:ptCount val="1"/>
                <c:pt idx="0">
                  <c:v>ZEN 48</c:v>
                </c:pt>
              </c:strCache>
            </c:strRef>
          </c:tx>
          <c:marker>
            <c:symbol val="none"/>
          </c:marker>
          <c:xVal>
            <c:numRef>
              <c:f>Estimator!$BZ$40:$BZ$63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Estimator!$CJ$40:$CJ$63</c:f>
              <c:numCache>
                <c:formatCode>0.00</c:formatCode>
                <c:ptCount val="24"/>
                <c:pt idx="0">
                  <c:v>148.72</c:v>
                </c:pt>
                <c:pt idx="1">
                  <c:v>145.88</c:v>
                </c:pt>
                <c:pt idx="2">
                  <c:v>139.31</c:v>
                </c:pt>
                <c:pt idx="3">
                  <c:v>130.63999999999999</c:v>
                </c:pt>
                <c:pt idx="4">
                  <c:v>120.94</c:v>
                </c:pt>
                <c:pt idx="5">
                  <c:v>110.87</c:v>
                </c:pt>
                <c:pt idx="6">
                  <c:v>100.84</c:v>
                </c:pt>
                <c:pt idx="7">
                  <c:v>91.17</c:v>
                </c:pt>
                <c:pt idx="8">
                  <c:v>82.34</c:v>
                </c:pt>
                <c:pt idx="9">
                  <c:v>74.63</c:v>
                </c:pt>
                <c:pt idx="10">
                  <c:v>68.650000000000006</c:v>
                </c:pt>
                <c:pt idx="11">
                  <c:v>64.959999999999994</c:v>
                </c:pt>
                <c:pt idx="12">
                  <c:v>63.82</c:v>
                </c:pt>
                <c:pt idx="13">
                  <c:v>65.44</c:v>
                </c:pt>
                <c:pt idx="14">
                  <c:v>69.69</c:v>
                </c:pt>
                <c:pt idx="15">
                  <c:v>76.239999999999995</c:v>
                </c:pt>
                <c:pt idx="16">
                  <c:v>84.41</c:v>
                </c:pt>
                <c:pt idx="17">
                  <c:v>93.44</c:v>
                </c:pt>
                <c:pt idx="18">
                  <c:v>103.17</c:v>
                </c:pt>
                <c:pt idx="19">
                  <c:v>113.26</c:v>
                </c:pt>
                <c:pt idx="20">
                  <c:v>123.27</c:v>
                </c:pt>
                <c:pt idx="21">
                  <c:v>128.01</c:v>
                </c:pt>
                <c:pt idx="22">
                  <c:v>141.07</c:v>
                </c:pt>
                <c:pt idx="23">
                  <c:v>146.91</c:v>
                </c:pt>
              </c:numCache>
            </c:numRef>
          </c:yVal>
        </c:ser>
        <c:axId val="165555584"/>
        <c:axId val="165570048"/>
      </c:scatterChart>
      <c:valAx>
        <c:axId val="165555584"/>
        <c:scaling>
          <c:orientation val="minMax"/>
        </c:scaling>
        <c:axPos val="b"/>
        <c:title>
          <c:layout/>
        </c:title>
        <c:numFmt formatCode="General" sourceLinked="1"/>
        <c:majorTickMark val="none"/>
        <c:tickLblPos val="nextTo"/>
        <c:crossAx val="165570048"/>
        <c:crosses val="autoZero"/>
        <c:crossBetween val="midCat"/>
      </c:valAx>
      <c:valAx>
        <c:axId val="165570048"/>
        <c:scaling>
          <c:orientation val="minMax"/>
        </c:scaling>
        <c:axPos val="l"/>
        <c:majorGridlines/>
        <c:title>
          <c:layout/>
        </c:title>
        <c:numFmt formatCode="0.00" sourceLinked="1"/>
        <c:majorTickMark val="none"/>
        <c:tickLblPos val="nextTo"/>
        <c:crossAx val="165555584"/>
        <c:crosses val="autoZero"/>
        <c:crossBetween val="midCat"/>
      </c:valAx>
    </c:plotArea>
    <c:legend>
      <c:legendPos val="r"/>
      <c:layout/>
    </c:legend>
    <c:plotVisOnly val="1"/>
  </c:chart>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 Pacific</a:t>
            </a:r>
          </a:p>
        </c:rich>
      </c:tx>
      <c:layout/>
    </c:title>
    <c:plotArea>
      <c:layout/>
      <c:scatterChart>
        <c:scatterStyle val="lineMarker"/>
        <c:ser>
          <c:idx val="0"/>
          <c:order val="0"/>
          <c:tx>
            <c:strRef>
              <c:f>Estimator!$CA$69</c:f>
              <c:strCache>
                <c:ptCount val="1"/>
                <c:pt idx="0">
                  <c:v>AZ 33</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Estimator!$CA$70:$CA$93</c:f>
              <c:numCache>
                <c:formatCode>0.00</c:formatCode>
                <c:ptCount val="24"/>
                <c:pt idx="0">
                  <c:v>13.94</c:v>
                </c:pt>
                <c:pt idx="1">
                  <c:v>30.9</c:v>
                </c:pt>
                <c:pt idx="2">
                  <c:v>44.96</c:v>
                </c:pt>
                <c:pt idx="3">
                  <c:v>56.32</c:v>
                </c:pt>
                <c:pt idx="4">
                  <c:v>65.7</c:v>
                </c:pt>
                <c:pt idx="5">
                  <c:v>73.84</c:v>
                </c:pt>
                <c:pt idx="6">
                  <c:v>81.39</c:v>
                </c:pt>
                <c:pt idx="7">
                  <c:v>89.04</c:v>
                </c:pt>
                <c:pt idx="8">
                  <c:v>97.74</c:v>
                </c:pt>
                <c:pt idx="9">
                  <c:v>109.35</c:v>
                </c:pt>
                <c:pt idx="10">
                  <c:v>128.65</c:v>
                </c:pt>
                <c:pt idx="11">
                  <c:v>166.96</c:v>
                </c:pt>
                <c:pt idx="12">
                  <c:v>215.2</c:v>
                </c:pt>
                <c:pt idx="13">
                  <c:v>242.47</c:v>
                </c:pt>
                <c:pt idx="14">
                  <c:v>257.02999999999997</c:v>
                </c:pt>
                <c:pt idx="15">
                  <c:v>266.87</c:v>
                </c:pt>
                <c:pt idx="16">
                  <c:v>274.64</c:v>
                </c:pt>
                <c:pt idx="17">
                  <c:v>282.18</c:v>
                </c:pt>
                <c:pt idx="18">
                  <c:v>289.97000000000003</c:v>
                </c:pt>
                <c:pt idx="19">
                  <c:v>298.66000000000003</c:v>
                </c:pt>
                <c:pt idx="20">
                  <c:v>308.94</c:v>
                </c:pt>
                <c:pt idx="21">
                  <c:v>314.92</c:v>
                </c:pt>
                <c:pt idx="22">
                  <c:v>337.14</c:v>
                </c:pt>
                <c:pt idx="23">
                  <c:v>355.22</c:v>
                </c:pt>
              </c:numCache>
            </c:numRef>
          </c:yVal>
        </c:ser>
        <c:ser>
          <c:idx val="1"/>
          <c:order val="1"/>
          <c:tx>
            <c:strRef>
              <c:f>Estimator!$CB$69</c:f>
              <c:strCache>
                <c:ptCount val="1"/>
                <c:pt idx="0">
                  <c:v>ZEN 33</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Estimator!$CB$70:$CB$93</c:f>
              <c:numCache>
                <c:formatCode>0.00</c:formatCode>
                <c:ptCount val="24"/>
                <c:pt idx="0">
                  <c:v>129.41999999999999</c:v>
                </c:pt>
                <c:pt idx="1">
                  <c:v>124.55</c:v>
                </c:pt>
                <c:pt idx="2">
                  <c:v>116.71</c:v>
                </c:pt>
                <c:pt idx="3">
                  <c:v>106.98</c:v>
                </c:pt>
                <c:pt idx="4">
                  <c:v>95.95</c:v>
                </c:pt>
                <c:pt idx="5">
                  <c:v>84.11</c:v>
                </c:pt>
                <c:pt idx="6">
                  <c:v>71.77</c:v>
                </c:pt>
                <c:pt idx="7">
                  <c:v>59.22</c:v>
                </c:pt>
                <c:pt idx="8">
                  <c:v>46.35</c:v>
                </c:pt>
                <c:pt idx="9">
                  <c:v>34.26</c:v>
                </c:pt>
                <c:pt idx="10">
                  <c:v>23.39</c:v>
                </c:pt>
                <c:pt idx="11">
                  <c:v>16.239999999999998</c:v>
                </c:pt>
                <c:pt idx="12">
                  <c:v>18.829999999999998</c:v>
                </c:pt>
                <c:pt idx="13">
                  <c:v>28.53</c:v>
                </c:pt>
                <c:pt idx="14">
                  <c:v>40.32</c:v>
                </c:pt>
                <c:pt idx="15">
                  <c:v>52.83</c:v>
                </c:pt>
                <c:pt idx="16">
                  <c:v>65.540000000000006</c:v>
                </c:pt>
                <c:pt idx="17">
                  <c:v>80.09</c:v>
                </c:pt>
                <c:pt idx="18">
                  <c:v>90.11</c:v>
                </c:pt>
                <c:pt idx="19">
                  <c:v>101.6</c:v>
                </c:pt>
                <c:pt idx="20">
                  <c:v>112.07</c:v>
                </c:pt>
                <c:pt idx="21">
                  <c:v>116.73</c:v>
                </c:pt>
                <c:pt idx="22">
                  <c:v>127.43</c:v>
                </c:pt>
                <c:pt idx="23">
                  <c:v>130.41</c:v>
                </c:pt>
              </c:numCache>
            </c:numRef>
          </c:yVal>
        </c:ser>
        <c:ser>
          <c:idx val="2"/>
          <c:order val="2"/>
          <c:tx>
            <c:strRef>
              <c:f>Estimator!$CC$69</c:f>
              <c:strCache>
                <c:ptCount val="1"/>
                <c:pt idx="0">
                  <c:v>AZ 37</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Estimator!$CC$70:$CC$93</c:f>
              <c:numCache>
                <c:formatCode>0.00</c:formatCode>
                <c:ptCount val="24"/>
                <c:pt idx="0">
                  <c:v>10.14</c:v>
                </c:pt>
                <c:pt idx="1">
                  <c:v>26.87</c:v>
                </c:pt>
                <c:pt idx="2">
                  <c:v>41.34</c:v>
                </c:pt>
                <c:pt idx="3">
                  <c:v>53.45</c:v>
                </c:pt>
                <c:pt idx="4">
                  <c:v>63.71</c:v>
                </c:pt>
                <c:pt idx="5">
                  <c:v>72.75</c:v>
                </c:pt>
                <c:pt idx="6">
                  <c:v>81.23</c:v>
                </c:pt>
                <c:pt idx="7">
                  <c:v>89.83</c:v>
                </c:pt>
                <c:pt idx="8">
                  <c:v>99.5</c:v>
                </c:pt>
                <c:pt idx="9">
                  <c:v>111.92</c:v>
                </c:pt>
                <c:pt idx="10">
                  <c:v>130.69999999999999</c:v>
                </c:pt>
                <c:pt idx="11">
                  <c:v>162.33000000000001</c:v>
                </c:pt>
                <c:pt idx="12">
                  <c:v>203.12</c:v>
                </c:pt>
                <c:pt idx="13">
                  <c:v>232.63</c:v>
                </c:pt>
                <c:pt idx="14">
                  <c:v>250.18</c:v>
                </c:pt>
                <c:pt idx="15">
                  <c:v>262.07</c:v>
                </c:pt>
                <c:pt idx="16">
                  <c:v>271.26</c:v>
                </c:pt>
                <c:pt idx="17">
                  <c:v>279.83</c:v>
                </c:pt>
                <c:pt idx="18">
                  <c:v>288.37</c:v>
                </c:pt>
                <c:pt idx="19">
                  <c:v>297.57</c:v>
                </c:pt>
                <c:pt idx="20">
                  <c:v>308.07</c:v>
                </c:pt>
                <c:pt idx="21">
                  <c:v>314.02</c:v>
                </c:pt>
                <c:pt idx="22">
                  <c:v>335.36</c:v>
                </c:pt>
                <c:pt idx="23">
                  <c:v>352.34</c:v>
                </c:pt>
              </c:numCache>
            </c:numRef>
          </c:yVal>
        </c:ser>
        <c:ser>
          <c:idx val="3"/>
          <c:order val="3"/>
          <c:tx>
            <c:strRef>
              <c:f>Estimator!$CD$69</c:f>
              <c:strCache>
                <c:ptCount val="1"/>
                <c:pt idx="0">
                  <c:v>ZEN 37</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Estimator!$CD$70:$CD$93</c:f>
              <c:numCache>
                <c:formatCode>0.00</c:formatCode>
                <c:ptCount val="24"/>
                <c:pt idx="0">
                  <c:v>125.93</c:v>
                </c:pt>
                <c:pt idx="1">
                  <c:v>122.11</c:v>
                </c:pt>
                <c:pt idx="2">
                  <c:v>115.34</c:v>
                </c:pt>
                <c:pt idx="3">
                  <c:v>106.74</c:v>
                </c:pt>
                <c:pt idx="4">
                  <c:v>96.23</c:v>
                </c:pt>
                <c:pt idx="5">
                  <c:v>84.98</c:v>
                </c:pt>
                <c:pt idx="6">
                  <c:v>73.34</c:v>
                </c:pt>
                <c:pt idx="7">
                  <c:v>61.22</c:v>
                </c:pt>
                <c:pt idx="8">
                  <c:v>48.91</c:v>
                </c:pt>
                <c:pt idx="9">
                  <c:v>37.79</c:v>
                </c:pt>
                <c:pt idx="10">
                  <c:v>27.58</c:v>
                </c:pt>
                <c:pt idx="11">
                  <c:v>20.7</c:v>
                </c:pt>
                <c:pt idx="12">
                  <c:v>21.3</c:v>
                </c:pt>
                <c:pt idx="13">
                  <c:v>28.77</c:v>
                </c:pt>
                <c:pt idx="14">
                  <c:v>39.46</c:v>
                </c:pt>
                <c:pt idx="15">
                  <c:v>51</c:v>
                </c:pt>
                <c:pt idx="16">
                  <c:v>63.15</c:v>
                </c:pt>
                <c:pt idx="17">
                  <c:v>75.08</c:v>
                </c:pt>
                <c:pt idx="18">
                  <c:v>86.5</c:v>
                </c:pt>
                <c:pt idx="19">
                  <c:v>97.81</c:v>
                </c:pt>
                <c:pt idx="20">
                  <c:v>107.85</c:v>
                </c:pt>
                <c:pt idx="21">
                  <c:v>112.41</c:v>
                </c:pt>
                <c:pt idx="22">
                  <c:v>122.88</c:v>
                </c:pt>
                <c:pt idx="23">
                  <c:v>126.21</c:v>
                </c:pt>
              </c:numCache>
            </c:numRef>
          </c:yVal>
        </c:ser>
        <c:ser>
          <c:idx val="4"/>
          <c:order val="4"/>
          <c:tx>
            <c:strRef>
              <c:f>Estimator!$CE$69</c:f>
              <c:strCache>
                <c:ptCount val="1"/>
                <c:pt idx="0">
                  <c:v>AZ 39</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Estimator!$CE$70:$CE$93</c:f>
              <c:numCache>
                <c:formatCode>0.00</c:formatCode>
                <c:ptCount val="24"/>
                <c:pt idx="0">
                  <c:v>15.37</c:v>
                </c:pt>
                <c:pt idx="1">
                  <c:v>31.15</c:v>
                </c:pt>
                <c:pt idx="2">
                  <c:v>44.84</c:v>
                </c:pt>
                <c:pt idx="3">
                  <c:v>56.52</c:v>
                </c:pt>
                <c:pt idx="4">
                  <c:v>66.69</c:v>
                </c:pt>
                <c:pt idx="5">
                  <c:v>75.95</c:v>
                </c:pt>
                <c:pt idx="6">
                  <c:v>84.95</c:v>
                </c:pt>
                <c:pt idx="7">
                  <c:v>94.43</c:v>
                </c:pt>
                <c:pt idx="8">
                  <c:v>105.52</c:v>
                </c:pt>
                <c:pt idx="9">
                  <c:v>120.29</c:v>
                </c:pt>
                <c:pt idx="10">
                  <c:v>142.63999999999999</c:v>
                </c:pt>
                <c:pt idx="11">
                  <c:v>176.19</c:v>
                </c:pt>
                <c:pt idx="12">
                  <c:v>211.48</c:v>
                </c:pt>
                <c:pt idx="13">
                  <c:v>236.02</c:v>
                </c:pt>
                <c:pt idx="14">
                  <c:v>251.95</c:v>
                </c:pt>
                <c:pt idx="15">
                  <c:v>263.58999999999997</c:v>
                </c:pt>
                <c:pt idx="16">
                  <c:v>273.05</c:v>
                </c:pt>
                <c:pt idx="17">
                  <c:v>282.10000000000002</c:v>
                </c:pt>
                <c:pt idx="18">
                  <c:v>291.27999999999997</c:v>
                </c:pt>
                <c:pt idx="19">
                  <c:v>301.24</c:v>
                </c:pt>
                <c:pt idx="20">
                  <c:v>312.58999999999997</c:v>
                </c:pt>
                <c:pt idx="21">
                  <c:v>318.95999999999998</c:v>
                </c:pt>
                <c:pt idx="22">
                  <c:v>341.26</c:v>
                </c:pt>
                <c:pt idx="23">
                  <c:v>358.24</c:v>
                </c:pt>
              </c:numCache>
            </c:numRef>
          </c:yVal>
        </c:ser>
        <c:ser>
          <c:idx val="5"/>
          <c:order val="5"/>
          <c:tx>
            <c:strRef>
              <c:f>Estimator!$CF$69</c:f>
              <c:strCache>
                <c:ptCount val="1"/>
                <c:pt idx="0">
                  <c:v>ZEN 39</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Estimator!$CF$70:$CF$93</c:f>
              <c:numCache>
                <c:formatCode>0.00</c:formatCode>
                <c:ptCount val="24"/>
                <c:pt idx="0">
                  <c:v>122.66</c:v>
                </c:pt>
                <c:pt idx="1">
                  <c:v>118.03</c:v>
                </c:pt>
                <c:pt idx="2">
                  <c:v>110.87</c:v>
                </c:pt>
                <c:pt idx="3">
                  <c:v>101.89</c:v>
                </c:pt>
                <c:pt idx="4">
                  <c:v>91.62</c:v>
                </c:pt>
                <c:pt idx="5">
                  <c:v>80.650000000000006</c:v>
                </c:pt>
                <c:pt idx="6">
                  <c:v>69.239999999999995</c:v>
                </c:pt>
                <c:pt idx="7">
                  <c:v>57.57</c:v>
                </c:pt>
                <c:pt idx="8">
                  <c:v>46.16</c:v>
                </c:pt>
                <c:pt idx="9">
                  <c:v>35.42</c:v>
                </c:pt>
                <c:pt idx="10">
                  <c:v>26.62</c:v>
                </c:pt>
                <c:pt idx="11">
                  <c:v>22.45</c:v>
                </c:pt>
                <c:pt idx="12">
                  <c:v>25.31</c:v>
                </c:pt>
                <c:pt idx="13">
                  <c:v>33.39</c:v>
                </c:pt>
                <c:pt idx="14">
                  <c:v>43.84</c:v>
                </c:pt>
                <c:pt idx="15">
                  <c:v>55.19</c:v>
                </c:pt>
                <c:pt idx="16">
                  <c:v>66.92</c:v>
                </c:pt>
                <c:pt idx="17">
                  <c:v>78.42</c:v>
                </c:pt>
                <c:pt idx="18">
                  <c:v>89.52</c:v>
                </c:pt>
                <c:pt idx="19">
                  <c:v>99.98</c:v>
                </c:pt>
                <c:pt idx="20">
                  <c:v>109.2</c:v>
                </c:pt>
                <c:pt idx="21">
                  <c:v>113.26</c:v>
                </c:pt>
                <c:pt idx="22">
                  <c:v>122</c:v>
                </c:pt>
                <c:pt idx="23">
                  <c:v>124.05</c:v>
                </c:pt>
              </c:numCache>
            </c:numRef>
          </c:yVal>
        </c:ser>
        <c:ser>
          <c:idx val="6"/>
          <c:order val="6"/>
          <c:tx>
            <c:strRef>
              <c:f>Estimator!$CG$69</c:f>
              <c:strCache>
                <c:ptCount val="1"/>
                <c:pt idx="0">
                  <c:v>AZ 43</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Estimator!$CG$70:$CG$93</c:f>
              <c:numCache>
                <c:formatCode>0.00</c:formatCode>
                <c:ptCount val="24"/>
                <c:pt idx="0">
                  <c:v>5.53</c:v>
                </c:pt>
                <c:pt idx="1">
                  <c:v>21.63</c:v>
                </c:pt>
                <c:pt idx="2">
                  <c:v>36.33</c:v>
                </c:pt>
                <c:pt idx="3">
                  <c:v>49.28</c:v>
                </c:pt>
                <c:pt idx="4">
                  <c:v>60.69</c:v>
                </c:pt>
                <c:pt idx="5">
                  <c:v>71.040000000000006</c:v>
                </c:pt>
                <c:pt idx="6">
                  <c:v>80.88</c:v>
                </c:pt>
                <c:pt idx="7">
                  <c:v>90.88</c:v>
                </c:pt>
                <c:pt idx="8">
                  <c:v>101.91</c:v>
                </c:pt>
                <c:pt idx="9">
                  <c:v>115.34</c:v>
                </c:pt>
                <c:pt idx="10">
                  <c:v>133.44999999999999</c:v>
                </c:pt>
                <c:pt idx="11">
                  <c:v>159.07</c:v>
                </c:pt>
                <c:pt idx="12">
                  <c:v>190.71</c:v>
                </c:pt>
                <c:pt idx="13">
                  <c:v>219</c:v>
                </c:pt>
                <c:pt idx="14">
                  <c:v>239.36</c:v>
                </c:pt>
                <c:pt idx="15">
                  <c:v>254.05</c:v>
                </c:pt>
                <c:pt idx="16">
                  <c:v>265.45999999999998</c:v>
                </c:pt>
                <c:pt idx="17">
                  <c:v>275.72000000000003</c:v>
                </c:pt>
                <c:pt idx="18">
                  <c:v>285.56</c:v>
                </c:pt>
                <c:pt idx="19">
                  <c:v>295.69</c:v>
                </c:pt>
                <c:pt idx="20">
                  <c:v>306.70999999999998</c:v>
                </c:pt>
                <c:pt idx="21">
                  <c:v>312.72000000000003</c:v>
                </c:pt>
                <c:pt idx="22">
                  <c:v>333.26</c:v>
                </c:pt>
                <c:pt idx="23">
                  <c:v>348.99</c:v>
                </c:pt>
              </c:numCache>
            </c:numRef>
          </c:yVal>
        </c:ser>
        <c:ser>
          <c:idx val="7"/>
          <c:order val="7"/>
          <c:tx>
            <c:strRef>
              <c:f>Estimator!$CH$69</c:f>
              <c:strCache>
                <c:ptCount val="1"/>
                <c:pt idx="0">
                  <c:v>ZEN 43</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Estimator!$CH$70:$CH$93</c:f>
              <c:numCache>
                <c:formatCode>0.00</c:formatCode>
                <c:ptCount val="24"/>
                <c:pt idx="0">
                  <c:v>119.75</c:v>
                </c:pt>
                <c:pt idx="1">
                  <c:v>117.31</c:v>
                </c:pt>
                <c:pt idx="2">
                  <c:v>112.01</c:v>
                </c:pt>
                <c:pt idx="3">
                  <c:v>104.56</c:v>
                </c:pt>
                <c:pt idx="4">
                  <c:v>95.02</c:v>
                </c:pt>
                <c:pt idx="5">
                  <c:v>85.63</c:v>
                </c:pt>
                <c:pt idx="6">
                  <c:v>75.02</c:v>
                </c:pt>
                <c:pt idx="7">
                  <c:v>64.41</c:v>
                </c:pt>
                <c:pt idx="8">
                  <c:v>53.26</c:v>
                </c:pt>
                <c:pt idx="9">
                  <c:v>42.91</c:v>
                </c:pt>
                <c:pt idx="10">
                  <c:v>34.950000000000003</c:v>
                </c:pt>
                <c:pt idx="11">
                  <c:v>27.73</c:v>
                </c:pt>
                <c:pt idx="12">
                  <c:v>27.05</c:v>
                </c:pt>
                <c:pt idx="13">
                  <c:v>31.36</c:v>
                </c:pt>
                <c:pt idx="14">
                  <c:v>39.659999999999997</c:v>
                </c:pt>
                <c:pt idx="15">
                  <c:v>49.68</c:v>
                </c:pt>
                <c:pt idx="16">
                  <c:v>60.61</c:v>
                </c:pt>
                <c:pt idx="17">
                  <c:v>71.489999999999995</c:v>
                </c:pt>
                <c:pt idx="18">
                  <c:v>82.22</c:v>
                </c:pt>
                <c:pt idx="19">
                  <c:v>92.48</c:v>
                </c:pt>
                <c:pt idx="20">
                  <c:v>102.3</c:v>
                </c:pt>
                <c:pt idx="21">
                  <c:v>105.97</c:v>
                </c:pt>
                <c:pt idx="22">
                  <c:v>115.85</c:v>
                </c:pt>
                <c:pt idx="23">
                  <c:v>119.38</c:v>
                </c:pt>
              </c:numCache>
            </c:numRef>
          </c:yVal>
        </c:ser>
        <c:ser>
          <c:idx val="8"/>
          <c:order val="8"/>
          <c:tx>
            <c:strRef>
              <c:f>Estimator!$CI$69</c:f>
              <c:strCache>
                <c:ptCount val="1"/>
                <c:pt idx="0">
                  <c:v>AZ 48</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Estimator!$CI$70:$CI$93</c:f>
              <c:numCache>
                <c:formatCode>0.00</c:formatCode>
                <c:ptCount val="24"/>
                <c:pt idx="0">
                  <c:v>6.39</c:v>
                </c:pt>
                <c:pt idx="1">
                  <c:v>21.91</c:v>
                </c:pt>
                <c:pt idx="2">
                  <c:v>36.32</c:v>
                </c:pt>
                <c:pt idx="3">
                  <c:v>49.35</c:v>
                </c:pt>
                <c:pt idx="4">
                  <c:v>61.16</c:v>
                </c:pt>
                <c:pt idx="5">
                  <c:v>72.13</c:v>
                </c:pt>
                <c:pt idx="6">
                  <c:v>82.79</c:v>
                </c:pt>
                <c:pt idx="7">
                  <c:v>93.76</c:v>
                </c:pt>
                <c:pt idx="8">
                  <c:v>105.92</c:v>
                </c:pt>
                <c:pt idx="9">
                  <c:v>120.48</c:v>
                </c:pt>
                <c:pt idx="10">
                  <c:v>139.19999999999999</c:v>
                </c:pt>
                <c:pt idx="11">
                  <c:v>163.46</c:v>
                </c:pt>
                <c:pt idx="12">
                  <c:v>191.2</c:v>
                </c:pt>
                <c:pt idx="13">
                  <c:v>216.5</c:v>
                </c:pt>
                <c:pt idx="14">
                  <c:v>236.27</c:v>
                </c:pt>
                <c:pt idx="15">
                  <c:v>251.52</c:v>
                </c:pt>
                <c:pt idx="16">
                  <c:v>263.82</c:v>
                </c:pt>
                <c:pt idx="17">
                  <c:v>274.98</c:v>
                </c:pt>
                <c:pt idx="18">
                  <c:v>285.67</c:v>
                </c:pt>
                <c:pt idx="19">
                  <c:v>296.55</c:v>
                </c:pt>
                <c:pt idx="20">
                  <c:v>308.18</c:v>
                </c:pt>
                <c:pt idx="21">
                  <c:v>314.41000000000003</c:v>
                </c:pt>
                <c:pt idx="22">
                  <c:v>335.13</c:v>
                </c:pt>
                <c:pt idx="23">
                  <c:v>350.49</c:v>
                </c:pt>
              </c:numCache>
            </c:numRef>
          </c:yVal>
        </c:ser>
        <c:ser>
          <c:idx val="9"/>
          <c:order val="9"/>
          <c:tx>
            <c:strRef>
              <c:f>Estimator!$CJ$69</c:f>
              <c:strCache>
                <c:ptCount val="1"/>
                <c:pt idx="0">
                  <c:v>ZEN 48</c:v>
                </c:pt>
              </c:strCache>
            </c:strRef>
          </c:tx>
          <c:marker>
            <c:symbol val="none"/>
          </c:marker>
          <c:xVal>
            <c:numRef>
              <c:f>Estimator!$BZ$70:$BZ$93</c:f>
              <c:numCache>
                <c:formatCode>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Estimator!$CJ$70:$CJ$93</c:f>
              <c:numCache>
                <c:formatCode>0.00</c:formatCode>
                <c:ptCount val="24"/>
                <c:pt idx="0">
                  <c:v>115.45</c:v>
                </c:pt>
                <c:pt idx="1">
                  <c:v>112.97</c:v>
                </c:pt>
                <c:pt idx="2">
                  <c:v>108.04</c:v>
                </c:pt>
                <c:pt idx="3">
                  <c:v>101.16</c:v>
                </c:pt>
                <c:pt idx="4">
                  <c:v>92.78</c:v>
                </c:pt>
                <c:pt idx="5">
                  <c:v>83.57</c:v>
                </c:pt>
                <c:pt idx="6">
                  <c:v>73.67</c:v>
                </c:pt>
                <c:pt idx="7">
                  <c:v>63.6</c:v>
                </c:pt>
                <c:pt idx="8">
                  <c:v>53.69</c:v>
                </c:pt>
                <c:pt idx="9">
                  <c:v>44.34</c:v>
                </c:pt>
                <c:pt idx="10">
                  <c:v>36.520000000000003</c:v>
                </c:pt>
                <c:pt idx="11">
                  <c:v>31.63</c:v>
                </c:pt>
                <c:pt idx="12">
                  <c:v>31.14</c:v>
                </c:pt>
                <c:pt idx="13">
                  <c:v>35.26</c:v>
                </c:pt>
                <c:pt idx="14">
                  <c:v>42.57</c:v>
                </c:pt>
                <c:pt idx="15">
                  <c:v>51.66</c:v>
                </c:pt>
                <c:pt idx="16">
                  <c:v>61.71</c:v>
                </c:pt>
                <c:pt idx="17">
                  <c:v>71.83</c:v>
                </c:pt>
                <c:pt idx="18">
                  <c:v>81.75</c:v>
                </c:pt>
                <c:pt idx="19">
                  <c:v>91.15</c:v>
                </c:pt>
                <c:pt idx="20">
                  <c:v>99.68</c:v>
                </c:pt>
                <c:pt idx="21">
                  <c:v>103.49</c:v>
                </c:pt>
                <c:pt idx="22">
                  <c:v>112.23</c:v>
                </c:pt>
                <c:pt idx="23">
                  <c:v>115.24</c:v>
                </c:pt>
              </c:numCache>
            </c:numRef>
          </c:yVal>
        </c:ser>
        <c:axId val="165778176"/>
        <c:axId val="165780096"/>
      </c:scatterChart>
      <c:valAx>
        <c:axId val="165778176"/>
        <c:scaling>
          <c:orientation val="minMax"/>
        </c:scaling>
        <c:axPos val="b"/>
        <c:title>
          <c:layout/>
        </c:title>
        <c:numFmt formatCode="0.0" sourceLinked="1"/>
        <c:majorTickMark val="none"/>
        <c:tickLblPos val="nextTo"/>
        <c:crossAx val="165780096"/>
        <c:crosses val="autoZero"/>
        <c:crossBetween val="midCat"/>
      </c:valAx>
      <c:valAx>
        <c:axId val="165780096"/>
        <c:scaling>
          <c:orientation val="minMax"/>
        </c:scaling>
        <c:axPos val="l"/>
        <c:majorGridlines/>
        <c:title>
          <c:layout/>
        </c:title>
        <c:numFmt formatCode="0.00" sourceLinked="1"/>
        <c:majorTickMark val="none"/>
        <c:tickLblPos val="nextTo"/>
        <c:crossAx val="165778176"/>
        <c:crosses val="autoZero"/>
        <c:crossBetween val="midCat"/>
      </c:valAx>
    </c:plotArea>
    <c:legend>
      <c:legendPos val="r"/>
      <c:layout/>
    </c:legend>
    <c:plotVisOnly val="1"/>
  </c:chart>
  <c:printSettings>
    <c:headerFooter/>
    <c:pageMargins b="0.750000000000003" l="0.70000000000000062" r="0.70000000000000062" t="0.75000000000000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Summer, Pacific</a:t>
            </a:r>
          </a:p>
        </c:rich>
      </c:tx>
      <c:layout/>
    </c:title>
    <c:plotArea>
      <c:layout/>
      <c:scatterChart>
        <c:scatterStyle val="lineMarker"/>
        <c:ser>
          <c:idx val="0"/>
          <c:order val="0"/>
          <c:tx>
            <c:strRef>
              <c:f>Estimator!$CA$99</c:f>
              <c:strCache>
                <c:ptCount val="1"/>
                <c:pt idx="0">
                  <c:v>AZ 33</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Estimator!$CA$100:$CA$123</c:f>
              <c:numCache>
                <c:formatCode>0.00</c:formatCode>
                <c:ptCount val="24"/>
                <c:pt idx="0">
                  <c:v>11.06</c:v>
                </c:pt>
                <c:pt idx="1">
                  <c:v>28.4</c:v>
                </c:pt>
                <c:pt idx="2">
                  <c:v>42.93</c:v>
                </c:pt>
                <c:pt idx="3">
                  <c:v>54.68</c:v>
                </c:pt>
                <c:pt idx="4">
                  <c:v>64.34</c:v>
                </c:pt>
                <c:pt idx="5">
                  <c:v>72.64</c:v>
                </c:pt>
                <c:pt idx="6">
                  <c:v>80.27</c:v>
                </c:pt>
                <c:pt idx="7">
                  <c:v>87.88</c:v>
                </c:pt>
                <c:pt idx="8">
                  <c:v>96.37</c:v>
                </c:pt>
                <c:pt idx="9">
                  <c:v>107.37</c:v>
                </c:pt>
                <c:pt idx="10">
                  <c:v>124.99</c:v>
                </c:pt>
                <c:pt idx="11">
                  <c:v>159.53</c:v>
                </c:pt>
                <c:pt idx="12">
                  <c:v>208.66</c:v>
                </c:pt>
                <c:pt idx="13">
                  <c:v>239.04</c:v>
                </c:pt>
                <c:pt idx="14">
                  <c:v>254.89</c:v>
                </c:pt>
                <c:pt idx="15">
                  <c:v>265.22000000000003</c:v>
                </c:pt>
                <c:pt idx="16">
                  <c:v>273.70999999999998</c:v>
                </c:pt>
                <c:pt idx="17">
                  <c:v>281.23</c:v>
                </c:pt>
                <c:pt idx="18">
                  <c:v>288.91000000000003</c:v>
                </c:pt>
                <c:pt idx="19">
                  <c:v>297.38</c:v>
                </c:pt>
                <c:pt idx="20">
                  <c:v>307.33999999999997</c:v>
                </c:pt>
                <c:pt idx="21">
                  <c:v>313.11</c:v>
                </c:pt>
                <c:pt idx="22">
                  <c:v>334.58</c:v>
                </c:pt>
                <c:pt idx="23">
                  <c:v>352.31</c:v>
                </c:pt>
              </c:numCache>
            </c:numRef>
          </c:yVal>
        </c:ser>
        <c:ser>
          <c:idx val="1"/>
          <c:order val="1"/>
          <c:tx>
            <c:strRef>
              <c:f>Estimator!$CB$99</c:f>
              <c:strCache>
                <c:ptCount val="1"/>
                <c:pt idx="0">
                  <c:v>ZEN 33</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Estimator!$CB$100:$CB$123</c:f>
              <c:numCache>
                <c:formatCode>0.00</c:formatCode>
                <c:ptCount val="24"/>
                <c:pt idx="0">
                  <c:v>129.76</c:v>
                </c:pt>
                <c:pt idx="1">
                  <c:v>125.51</c:v>
                </c:pt>
                <c:pt idx="2">
                  <c:v>118.09</c:v>
                </c:pt>
                <c:pt idx="3">
                  <c:v>108.63</c:v>
                </c:pt>
                <c:pt idx="4">
                  <c:v>97.72</c:v>
                </c:pt>
                <c:pt idx="5">
                  <c:v>86</c:v>
                </c:pt>
                <c:pt idx="6">
                  <c:v>73.73</c:v>
                </c:pt>
                <c:pt idx="7">
                  <c:v>61.21</c:v>
                </c:pt>
                <c:pt idx="8">
                  <c:v>48.63</c:v>
                </c:pt>
                <c:pt idx="9">
                  <c:v>36.72</c:v>
                </c:pt>
                <c:pt idx="10">
                  <c:v>24.92</c:v>
                </c:pt>
                <c:pt idx="11">
                  <c:v>16.87</c:v>
                </c:pt>
                <c:pt idx="12">
                  <c:v>17.95</c:v>
                </c:pt>
                <c:pt idx="13">
                  <c:v>26.9</c:v>
                </c:pt>
                <c:pt idx="14">
                  <c:v>38.590000000000003</c:v>
                </c:pt>
                <c:pt idx="15">
                  <c:v>50.94</c:v>
                </c:pt>
                <c:pt idx="16">
                  <c:v>63.43</c:v>
                </c:pt>
                <c:pt idx="17">
                  <c:v>75.930000000000007</c:v>
                </c:pt>
                <c:pt idx="18">
                  <c:v>88.1</c:v>
                </c:pt>
                <c:pt idx="19">
                  <c:v>99.86</c:v>
                </c:pt>
                <c:pt idx="20">
                  <c:v>110.41</c:v>
                </c:pt>
                <c:pt idx="21">
                  <c:v>115.23</c:v>
                </c:pt>
                <c:pt idx="22">
                  <c:v>126.49</c:v>
                </c:pt>
                <c:pt idx="23">
                  <c:v>130.08000000000001</c:v>
                </c:pt>
              </c:numCache>
            </c:numRef>
          </c:yVal>
        </c:ser>
        <c:ser>
          <c:idx val="2"/>
          <c:order val="2"/>
          <c:tx>
            <c:strRef>
              <c:f>Estimator!$CC$99</c:f>
              <c:strCache>
                <c:ptCount val="1"/>
                <c:pt idx="0">
                  <c:v>AZ 37</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Estimator!$CC$100:$CC$123</c:f>
              <c:numCache>
                <c:formatCode>0.00</c:formatCode>
                <c:ptCount val="24"/>
                <c:pt idx="0">
                  <c:v>7.37</c:v>
                </c:pt>
                <c:pt idx="1">
                  <c:v>24.36</c:v>
                </c:pt>
                <c:pt idx="2">
                  <c:v>39.21</c:v>
                </c:pt>
                <c:pt idx="3">
                  <c:v>51.68</c:v>
                </c:pt>
                <c:pt idx="4">
                  <c:v>62.2</c:v>
                </c:pt>
                <c:pt idx="5">
                  <c:v>71.41</c:v>
                </c:pt>
                <c:pt idx="6">
                  <c:v>79.95</c:v>
                </c:pt>
                <c:pt idx="7">
                  <c:v>88.51</c:v>
                </c:pt>
                <c:pt idx="8">
                  <c:v>97.96</c:v>
                </c:pt>
                <c:pt idx="9">
                  <c:v>109.83</c:v>
                </c:pt>
                <c:pt idx="10">
                  <c:v>127.3</c:v>
                </c:pt>
                <c:pt idx="11">
                  <c:v>156.52000000000001</c:v>
                </c:pt>
                <c:pt idx="12">
                  <c:v>197.01</c:v>
                </c:pt>
                <c:pt idx="13">
                  <c:v>228.73</c:v>
                </c:pt>
                <c:pt idx="14">
                  <c:v>247.66</c:v>
                </c:pt>
                <c:pt idx="15">
                  <c:v>260.17</c:v>
                </c:pt>
                <c:pt idx="16">
                  <c:v>270.13</c:v>
                </c:pt>
                <c:pt idx="17">
                  <c:v>278.73</c:v>
                </c:pt>
                <c:pt idx="18">
                  <c:v>287.2</c:v>
                </c:pt>
                <c:pt idx="19">
                  <c:v>296.23</c:v>
                </c:pt>
                <c:pt idx="20">
                  <c:v>306.45</c:v>
                </c:pt>
                <c:pt idx="21">
                  <c:v>312.22000000000003</c:v>
                </c:pt>
                <c:pt idx="22">
                  <c:v>332.94</c:v>
                </c:pt>
                <c:pt idx="23">
                  <c:v>349.61</c:v>
                </c:pt>
              </c:numCache>
            </c:numRef>
          </c:yVal>
        </c:ser>
        <c:ser>
          <c:idx val="3"/>
          <c:order val="3"/>
          <c:tx>
            <c:strRef>
              <c:f>Estimator!$CD$99</c:f>
              <c:strCache>
                <c:ptCount val="1"/>
                <c:pt idx="0">
                  <c:v>ZEN 37</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Estimator!$CD$100:$CD$123</c:f>
              <c:numCache>
                <c:formatCode>0.00</c:formatCode>
                <c:ptCount val="24"/>
                <c:pt idx="0">
                  <c:v>126.16</c:v>
                </c:pt>
                <c:pt idx="1">
                  <c:v>122.62</c:v>
                </c:pt>
                <c:pt idx="2">
                  <c:v>116.52</c:v>
                </c:pt>
                <c:pt idx="3">
                  <c:v>107.87</c:v>
                </c:pt>
                <c:pt idx="4">
                  <c:v>97.88</c:v>
                </c:pt>
                <c:pt idx="5">
                  <c:v>86.83</c:v>
                </c:pt>
                <c:pt idx="6">
                  <c:v>75.19</c:v>
                </c:pt>
                <c:pt idx="7">
                  <c:v>63.26</c:v>
                </c:pt>
                <c:pt idx="8">
                  <c:v>51.28</c:v>
                </c:pt>
                <c:pt idx="9">
                  <c:v>39.6</c:v>
                </c:pt>
                <c:pt idx="10">
                  <c:v>29.05</c:v>
                </c:pt>
                <c:pt idx="11">
                  <c:v>21.52</c:v>
                </c:pt>
                <c:pt idx="12">
                  <c:v>20.81</c:v>
                </c:pt>
                <c:pt idx="13">
                  <c:v>27.51</c:v>
                </c:pt>
                <c:pt idx="14">
                  <c:v>37.71</c:v>
                </c:pt>
                <c:pt idx="15">
                  <c:v>49.29</c:v>
                </c:pt>
                <c:pt idx="16">
                  <c:v>61.11</c:v>
                </c:pt>
                <c:pt idx="17">
                  <c:v>73.150000000000006</c:v>
                </c:pt>
                <c:pt idx="18">
                  <c:v>84.37</c:v>
                </c:pt>
                <c:pt idx="19">
                  <c:v>95.98</c:v>
                </c:pt>
                <c:pt idx="20">
                  <c:v>106.27</c:v>
                </c:pt>
                <c:pt idx="21">
                  <c:v>110.93</c:v>
                </c:pt>
                <c:pt idx="22">
                  <c:v>121.94</c:v>
                </c:pt>
                <c:pt idx="23">
                  <c:v>125.82</c:v>
                </c:pt>
              </c:numCache>
            </c:numRef>
          </c:yVal>
        </c:ser>
        <c:ser>
          <c:idx val="4"/>
          <c:order val="4"/>
          <c:tx>
            <c:strRef>
              <c:f>Estimator!$CE$99</c:f>
              <c:strCache>
                <c:ptCount val="1"/>
                <c:pt idx="0">
                  <c:v>AZ 39</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Estimator!$CE$100:$CE$123</c:f>
              <c:numCache>
                <c:formatCode>0.00</c:formatCode>
                <c:ptCount val="24"/>
                <c:pt idx="0">
                  <c:v>12.73</c:v>
                </c:pt>
                <c:pt idx="1">
                  <c:v>28.79</c:v>
                </c:pt>
                <c:pt idx="2">
                  <c:v>42.82</c:v>
                </c:pt>
                <c:pt idx="3">
                  <c:v>54.8</c:v>
                </c:pt>
                <c:pt idx="4">
                  <c:v>65.180000000000007</c:v>
                </c:pt>
                <c:pt idx="5">
                  <c:v>74.56</c:v>
                </c:pt>
                <c:pt idx="6">
                  <c:v>83.57</c:v>
                </c:pt>
                <c:pt idx="7">
                  <c:v>92.94</c:v>
                </c:pt>
                <c:pt idx="8">
                  <c:v>103.72</c:v>
                </c:pt>
                <c:pt idx="9">
                  <c:v>117.75</c:v>
                </c:pt>
                <c:pt idx="10">
                  <c:v>138.6</c:v>
                </c:pt>
                <c:pt idx="11">
                  <c:v>170.45</c:v>
                </c:pt>
                <c:pt idx="12">
                  <c:v>206.43</c:v>
                </c:pt>
                <c:pt idx="13">
                  <c:v>232.65</c:v>
                </c:pt>
                <c:pt idx="14">
                  <c:v>249.58</c:v>
                </c:pt>
                <c:pt idx="15">
                  <c:v>261.7</c:v>
                </c:pt>
                <c:pt idx="16">
                  <c:v>271.85000000000002</c:v>
                </c:pt>
                <c:pt idx="17">
                  <c:v>280.91000000000003</c:v>
                </c:pt>
                <c:pt idx="18">
                  <c:v>289.99</c:v>
                </c:pt>
                <c:pt idx="19">
                  <c:v>299.76</c:v>
                </c:pt>
                <c:pt idx="20">
                  <c:v>310.82</c:v>
                </c:pt>
                <c:pt idx="21">
                  <c:v>317.02</c:v>
                </c:pt>
                <c:pt idx="22">
                  <c:v>338.78</c:v>
                </c:pt>
                <c:pt idx="23">
                  <c:v>355.54</c:v>
                </c:pt>
              </c:numCache>
            </c:numRef>
          </c:yVal>
        </c:ser>
        <c:ser>
          <c:idx val="5"/>
          <c:order val="5"/>
          <c:tx>
            <c:strRef>
              <c:f>Estimator!$CF$99</c:f>
              <c:strCache>
                <c:ptCount val="1"/>
                <c:pt idx="0">
                  <c:v>ZEN 39</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Estimator!$CF$100:$CF$123</c:f>
              <c:numCache>
                <c:formatCode>0.00</c:formatCode>
                <c:ptCount val="24"/>
                <c:pt idx="0">
                  <c:v>122.99</c:v>
                </c:pt>
                <c:pt idx="1">
                  <c:v>118.87</c:v>
                </c:pt>
                <c:pt idx="2">
                  <c:v>112.07</c:v>
                </c:pt>
                <c:pt idx="3">
                  <c:v>103.39</c:v>
                </c:pt>
                <c:pt idx="4">
                  <c:v>93.27</c:v>
                </c:pt>
                <c:pt idx="5">
                  <c:v>82.39</c:v>
                </c:pt>
                <c:pt idx="6">
                  <c:v>70.98</c:v>
                </c:pt>
                <c:pt idx="7">
                  <c:v>58.88</c:v>
                </c:pt>
                <c:pt idx="8">
                  <c:v>47.8</c:v>
                </c:pt>
                <c:pt idx="9">
                  <c:v>37.07</c:v>
                </c:pt>
                <c:pt idx="10">
                  <c:v>27.87</c:v>
                </c:pt>
                <c:pt idx="11">
                  <c:v>22.84</c:v>
                </c:pt>
                <c:pt idx="12">
                  <c:v>24.59</c:v>
                </c:pt>
                <c:pt idx="13">
                  <c:v>32.07</c:v>
                </c:pt>
                <c:pt idx="14">
                  <c:v>42.31</c:v>
                </c:pt>
                <c:pt idx="15">
                  <c:v>53.54</c:v>
                </c:pt>
                <c:pt idx="16">
                  <c:v>64.930000000000007</c:v>
                </c:pt>
                <c:pt idx="17">
                  <c:v>76.489999999999995</c:v>
                </c:pt>
                <c:pt idx="18">
                  <c:v>87.68</c:v>
                </c:pt>
                <c:pt idx="19">
                  <c:v>98.23</c:v>
                </c:pt>
                <c:pt idx="20">
                  <c:v>107.68</c:v>
                </c:pt>
                <c:pt idx="21">
                  <c:v>111.9</c:v>
                </c:pt>
                <c:pt idx="22">
                  <c:v>121.22</c:v>
                </c:pt>
                <c:pt idx="23">
                  <c:v>123.83</c:v>
                </c:pt>
              </c:numCache>
            </c:numRef>
          </c:yVal>
        </c:ser>
        <c:ser>
          <c:idx val="6"/>
          <c:order val="6"/>
          <c:tx>
            <c:strRef>
              <c:f>Estimator!$CG$99</c:f>
              <c:strCache>
                <c:ptCount val="1"/>
                <c:pt idx="0">
                  <c:v>AZ 43</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Estimator!$CG$100:$CG$123</c:f>
              <c:numCache>
                <c:formatCode>0.00</c:formatCode>
                <c:ptCount val="24"/>
                <c:pt idx="0">
                  <c:v>2.94</c:v>
                </c:pt>
                <c:pt idx="1">
                  <c:v>19.170000000000002</c:v>
                </c:pt>
                <c:pt idx="2">
                  <c:v>34.130000000000003</c:v>
                </c:pt>
                <c:pt idx="3">
                  <c:v>47.36</c:v>
                </c:pt>
                <c:pt idx="4">
                  <c:v>59</c:v>
                </c:pt>
                <c:pt idx="5">
                  <c:v>69.48</c:v>
                </c:pt>
                <c:pt idx="6">
                  <c:v>79.38</c:v>
                </c:pt>
                <c:pt idx="7">
                  <c:v>89.33</c:v>
                </c:pt>
                <c:pt idx="8">
                  <c:v>100.16</c:v>
                </c:pt>
                <c:pt idx="9">
                  <c:v>113.12</c:v>
                </c:pt>
                <c:pt idx="10">
                  <c:v>130.33000000000001</c:v>
                </c:pt>
                <c:pt idx="11">
                  <c:v>154.65</c:v>
                </c:pt>
                <c:pt idx="12">
                  <c:v>185.72</c:v>
                </c:pt>
                <c:pt idx="13">
                  <c:v>214.95</c:v>
                </c:pt>
                <c:pt idx="14">
                  <c:v>236.41</c:v>
                </c:pt>
                <c:pt idx="15">
                  <c:v>251.78</c:v>
                </c:pt>
                <c:pt idx="16">
                  <c:v>264.01</c:v>
                </c:pt>
                <c:pt idx="17">
                  <c:v>274.38</c:v>
                </c:pt>
                <c:pt idx="18">
                  <c:v>284.2</c:v>
                </c:pt>
                <c:pt idx="19">
                  <c:v>294.20999999999998</c:v>
                </c:pt>
                <c:pt idx="20">
                  <c:v>305.02999999999997</c:v>
                </c:pt>
                <c:pt idx="21">
                  <c:v>310.89999999999998</c:v>
                </c:pt>
                <c:pt idx="22">
                  <c:v>331</c:v>
                </c:pt>
                <c:pt idx="23">
                  <c:v>346.48</c:v>
                </c:pt>
              </c:numCache>
            </c:numRef>
          </c:yVal>
        </c:ser>
        <c:ser>
          <c:idx val="7"/>
          <c:order val="7"/>
          <c:tx>
            <c:strRef>
              <c:f>Estimator!$CH$99</c:f>
              <c:strCache>
                <c:ptCount val="1"/>
                <c:pt idx="0">
                  <c:v>ZEN 43</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Estimator!$CH$100:$CH$123</c:f>
              <c:numCache>
                <c:formatCode>0.00</c:formatCode>
                <c:ptCount val="24"/>
                <c:pt idx="0">
                  <c:v>119.93</c:v>
                </c:pt>
                <c:pt idx="1">
                  <c:v>117.89</c:v>
                </c:pt>
                <c:pt idx="2">
                  <c:v>112.82</c:v>
                </c:pt>
                <c:pt idx="3">
                  <c:v>105.74</c:v>
                </c:pt>
                <c:pt idx="4">
                  <c:v>97.06</c:v>
                </c:pt>
                <c:pt idx="5">
                  <c:v>87.22</c:v>
                </c:pt>
                <c:pt idx="6">
                  <c:v>76.72</c:v>
                </c:pt>
                <c:pt idx="7">
                  <c:v>65.87</c:v>
                </c:pt>
                <c:pt idx="8">
                  <c:v>54.91</c:v>
                </c:pt>
                <c:pt idx="9">
                  <c:v>44.56</c:v>
                </c:pt>
                <c:pt idx="10">
                  <c:v>35.28</c:v>
                </c:pt>
                <c:pt idx="11">
                  <c:v>28.55</c:v>
                </c:pt>
                <c:pt idx="12">
                  <c:v>26.61</c:v>
                </c:pt>
                <c:pt idx="13">
                  <c:v>30.53</c:v>
                </c:pt>
                <c:pt idx="14">
                  <c:v>38.39</c:v>
                </c:pt>
                <c:pt idx="15">
                  <c:v>48.25</c:v>
                </c:pt>
                <c:pt idx="16">
                  <c:v>58.73</c:v>
                </c:pt>
                <c:pt idx="17">
                  <c:v>69.650000000000006</c:v>
                </c:pt>
                <c:pt idx="18">
                  <c:v>80.42</c:v>
                </c:pt>
                <c:pt idx="19">
                  <c:v>90.74</c:v>
                </c:pt>
                <c:pt idx="20">
                  <c:v>100.25</c:v>
                </c:pt>
                <c:pt idx="21">
                  <c:v>104.56</c:v>
                </c:pt>
                <c:pt idx="22">
                  <c:v>114.96</c:v>
                </c:pt>
                <c:pt idx="23">
                  <c:v>118.93</c:v>
                </c:pt>
              </c:numCache>
            </c:numRef>
          </c:yVal>
        </c:ser>
        <c:ser>
          <c:idx val="8"/>
          <c:order val="8"/>
          <c:tx>
            <c:strRef>
              <c:f>Estimator!$CI$99</c:f>
              <c:strCache>
                <c:ptCount val="1"/>
                <c:pt idx="0">
                  <c:v>AZ 48</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Estimator!$CI$100:$CI$123</c:f>
              <c:numCache>
                <c:formatCode>0.00</c:formatCode>
                <c:ptCount val="24"/>
                <c:pt idx="0">
                  <c:v>3.9</c:v>
                </c:pt>
                <c:pt idx="1">
                  <c:v>19.53</c:v>
                </c:pt>
                <c:pt idx="2">
                  <c:v>34.14</c:v>
                </c:pt>
                <c:pt idx="3">
                  <c:v>47.4</c:v>
                </c:pt>
                <c:pt idx="4">
                  <c:v>59.39</c:v>
                </c:pt>
                <c:pt idx="5">
                  <c:v>70.47</c:v>
                </c:pt>
                <c:pt idx="6">
                  <c:v>81.150000000000006</c:v>
                </c:pt>
                <c:pt idx="7">
                  <c:v>92.05</c:v>
                </c:pt>
                <c:pt idx="8">
                  <c:v>103.98</c:v>
                </c:pt>
                <c:pt idx="9">
                  <c:v>118.09</c:v>
                </c:pt>
                <c:pt idx="10">
                  <c:v>136.05000000000001</c:v>
                </c:pt>
                <c:pt idx="11">
                  <c:v>159.41</c:v>
                </c:pt>
                <c:pt idx="12">
                  <c:v>186.86</c:v>
                </c:pt>
                <c:pt idx="13">
                  <c:v>212.78</c:v>
                </c:pt>
                <c:pt idx="14">
                  <c:v>233.35</c:v>
                </c:pt>
                <c:pt idx="15">
                  <c:v>249.16</c:v>
                </c:pt>
                <c:pt idx="16">
                  <c:v>262.20999999999998</c:v>
                </c:pt>
                <c:pt idx="17">
                  <c:v>273.48</c:v>
                </c:pt>
                <c:pt idx="18">
                  <c:v>284.16000000000003</c:v>
                </c:pt>
                <c:pt idx="19">
                  <c:v>294.95</c:v>
                </c:pt>
                <c:pt idx="20">
                  <c:v>306.39999999999998</c:v>
                </c:pt>
                <c:pt idx="21">
                  <c:v>312.52</c:v>
                </c:pt>
                <c:pt idx="22">
                  <c:v>332.88</c:v>
                </c:pt>
                <c:pt idx="23">
                  <c:v>348.05</c:v>
                </c:pt>
              </c:numCache>
            </c:numRef>
          </c:yVal>
        </c:ser>
        <c:ser>
          <c:idx val="9"/>
          <c:order val="9"/>
          <c:tx>
            <c:strRef>
              <c:f>Estimator!$CJ$99</c:f>
              <c:strCache>
                <c:ptCount val="1"/>
                <c:pt idx="0">
                  <c:v>ZEN 48</c:v>
                </c:pt>
              </c:strCache>
            </c:strRef>
          </c:tx>
          <c:marker>
            <c:symbol val="none"/>
          </c:marker>
          <c:xVal>
            <c:numRef>
              <c:f>Estimator!$BZ$100:$BZ$123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Estimator!$CJ$100:$CJ$123</c:f>
              <c:numCache>
                <c:formatCode>0.00</c:formatCode>
                <c:ptCount val="24"/>
                <c:pt idx="0">
                  <c:v>115.51</c:v>
                </c:pt>
                <c:pt idx="1">
                  <c:v>113.48</c:v>
                </c:pt>
                <c:pt idx="2">
                  <c:v>108.91</c:v>
                </c:pt>
                <c:pt idx="3">
                  <c:v>102.31</c:v>
                </c:pt>
                <c:pt idx="4">
                  <c:v>94.25</c:v>
                </c:pt>
                <c:pt idx="5">
                  <c:v>85.08</c:v>
                </c:pt>
                <c:pt idx="6">
                  <c:v>75.31</c:v>
                </c:pt>
                <c:pt idx="7">
                  <c:v>65.209999999999994</c:v>
                </c:pt>
                <c:pt idx="8">
                  <c:v>55.18</c:v>
                </c:pt>
                <c:pt idx="9">
                  <c:v>45.76</c:v>
                </c:pt>
                <c:pt idx="10">
                  <c:v>37.74</c:v>
                </c:pt>
                <c:pt idx="11">
                  <c:v>32.29</c:v>
                </c:pt>
                <c:pt idx="12">
                  <c:v>31.08</c:v>
                </c:pt>
                <c:pt idx="13">
                  <c:v>34.549999999999997</c:v>
                </c:pt>
                <c:pt idx="14">
                  <c:v>41.47</c:v>
                </c:pt>
                <c:pt idx="15">
                  <c:v>50.42</c:v>
                </c:pt>
                <c:pt idx="16">
                  <c:v>59.94</c:v>
                </c:pt>
                <c:pt idx="17">
                  <c:v>70.040000000000006</c:v>
                </c:pt>
                <c:pt idx="18">
                  <c:v>80</c:v>
                </c:pt>
                <c:pt idx="19">
                  <c:v>89.58</c:v>
                </c:pt>
                <c:pt idx="20">
                  <c:v>98.29</c:v>
                </c:pt>
                <c:pt idx="21">
                  <c:v>102.17</c:v>
                </c:pt>
                <c:pt idx="22">
                  <c:v>111.38</c:v>
                </c:pt>
                <c:pt idx="23">
                  <c:v>114.77</c:v>
                </c:pt>
              </c:numCache>
            </c:numRef>
          </c:yVal>
        </c:ser>
        <c:axId val="165865344"/>
        <c:axId val="165687296"/>
      </c:scatterChart>
      <c:valAx>
        <c:axId val="165865344"/>
        <c:scaling>
          <c:orientation val="minMax"/>
        </c:scaling>
        <c:axPos val="b"/>
        <c:title>
          <c:layout/>
        </c:title>
        <c:numFmt formatCode="General" sourceLinked="1"/>
        <c:majorTickMark val="none"/>
        <c:tickLblPos val="nextTo"/>
        <c:crossAx val="165687296"/>
        <c:crosses val="autoZero"/>
        <c:crossBetween val="midCat"/>
      </c:valAx>
      <c:valAx>
        <c:axId val="165687296"/>
        <c:scaling>
          <c:orientation val="minMax"/>
        </c:scaling>
        <c:axPos val="l"/>
        <c:majorGridlines/>
        <c:title>
          <c:layout/>
        </c:title>
        <c:numFmt formatCode="0.00" sourceLinked="1"/>
        <c:majorTickMark val="none"/>
        <c:tickLblPos val="nextTo"/>
        <c:crossAx val="165865344"/>
        <c:crosses val="autoZero"/>
        <c:crossBetween val="midCat"/>
      </c:valAx>
    </c:plotArea>
    <c:legend>
      <c:legendPos val="r"/>
      <c:layout/>
    </c:legend>
    <c:plotVisOnly val="1"/>
  </c:chart>
  <c:printSettings>
    <c:headerFooter/>
    <c:pageMargins b="0.750000000000003" l="0.70000000000000062" r="0.70000000000000062" t="0.75000000000000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Fall, Pacific</a:t>
            </a:r>
          </a:p>
        </c:rich>
      </c:tx>
      <c:layout/>
    </c:title>
    <c:plotArea>
      <c:layout/>
      <c:scatterChart>
        <c:scatterStyle val="lineMarker"/>
        <c:ser>
          <c:idx val="0"/>
          <c:order val="0"/>
          <c:tx>
            <c:strRef>
              <c:f>Estimator!$CA$129</c:f>
              <c:strCache>
                <c:ptCount val="1"/>
                <c:pt idx="0">
                  <c:v>AZ 33</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Estimator!$CA$130:$CA$153</c:f>
              <c:numCache>
                <c:formatCode>0.00</c:formatCode>
                <c:ptCount val="24"/>
                <c:pt idx="0">
                  <c:v>40.799999999999997</c:v>
                </c:pt>
                <c:pt idx="1">
                  <c:v>64.33</c:v>
                </c:pt>
                <c:pt idx="2">
                  <c:v>77.81</c:v>
                </c:pt>
                <c:pt idx="3">
                  <c:v>87.35</c:v>
                </c:pt>
                <c:pt idx="4">
                  <c:v>95.35</c:v>
                </c:pt>
                <c:pt idx="5">
                  <c:v>102.96</c:v>
                </c:pt>
                <c:pt idx="6">
                  <c:v>110.94</c:v>
                </c:pt>
                <c:pt idx="7">
                  <c:v>119.95</c:v>
                </c:pt>
                <c:pt idx="8">
                  <c:v>130.72999999999999</c:v>
                </c:pt>
                <c:pt idx="9">
                  <c:v>144.09</c:v>
                </c:pt>
                <c:pt idx="10">
                  <c:v>160.52000000000001</c:v>
                </c:pt>
                <c:pt idx="11">
                  <c:v>179.31</c:v>
                </c:pt>
                <c:pt idx="12">
                  <c:v>198.19</c:v>
                </c:pt>
                <c:pt idx="13">
                  <c:v>214.81</c:v>
                </c:pt>
                <c:pt idx="14">
                  <c:v>228.36</c:v>
                </c:pt>
                <c:pt idx="15">
                  <c:v>239.28</c:v>
                </c:pt>
                <c:pt idx="16">
                  <c:v>248.62</c:v>
                </c:pt>
                <c:pt idx="17">
                  <c:v>256.63</c:v>
                </c:pt>
                <c:pt idx="18">
                  <c:v>264.23</c:v>
                </c:pt>
                <c:pt idx="19">
                  <c:v>272.16000000000003</c:v>
                </c:pt>
                <c:pt idx="20">
                  <c:v>281.52</c:v>
                </c:pt>
                <c:pt idx="21">
                  <c:v>287.35000000000002</c:v>
                </c:pt>
                <c:pt idx="22">
                  <c:v>317.01</c:v>
                </c:pt>
                <c:pt idx="23">
                  <c:v>358.27</c:v>
                </c:pt>
              </c:numCache>
            </c:numRef>
          </c:yVal>
        </c:ser>
        <c:ser>
          <c:idx val="1"/>
          <c:order val="1"/>
          <c:tx>
            <c:strRef>
              <c:f>Estimator!$CB$129</c:f>
              <c:strCache>
                <c:ptCount val="1"/>
                <c:pt idx="0">
                  <c:v>ZEN 33</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Estimator!$CB$130:$CB$153</c:f>
              <c:numCache>
                <c:formatCode>0.00</c:formatCode>
                <c:ptCount val="24"/>
                <c:pt idx="0">
                  <c:v>158.41</c:v>
                </c:pt>
                <c:pt idx="1">
                  <c:v>148.28</c:v>
                </c:pt>
                <c:pt idx="2">
                  <c:v>136.33000000000001</c:v>
                </c:pt>
                <c:pt idx="3">
                  <c:v>123.82</c:v>
                </c:pt>
                <c:pt idx="4">
                  <c:v>111.27</c:v>
                </c:pt>
                <c:pt idx="5">
                  <c:v>98.81</c:v>
                </c:pt>
                <c:pt idx="6">
                  <c:v>86.76</c:v>
                </c:pt>
                <c:pt idx="7">
                  <c:v>75.36</c:v>
                </c:pt>
                <c:pt idx="8">
                  <c:v>65.099999999999994</c:v>
                </c:pt>
                <c:pt idx="9">
                  <c:v>56.52</c:v>
                </c:pt>
                <c:pt idx="10">
                  <c:v>50.07</c:v>
                </c:pt>
                <c:pt idx="11">
                  <c:v>48.41</c:v>
                </c:pt>
                <c:pt idx="12">
                  <c:v>50.4</c:v>
                </c:pt>
                <c:pt idx="13">
                  <c:v>55.85</c:v>
                </c:pt>
                <c:pt idx="14">
                  <c:v>64.31</c:v>
                </c:pt>
                <c:pt idx="15">
                  <c:v>74.430000000000007</c:v>
                </c:pt>
                <c:pt idx="16">
                  <c:v>85.82</c:v>
                </c:pt>
                <c:pt idx="17">
                  <c:v>97.85</c:v>
                </c:pt>
                <c:pt idx="18">
                  <c:v>110.3</c:v>
                </c:pt>
                <c:pt idx="19">
                  <c:v>122.87</c:v>
                </c:pt>
                <c:pt idx="20">
                  <c:v>135.44999999999999</c:v>
                </c:pt>
                <c:pt idx="21">
                  <c:v>141.59</c:v>
                </c:pt>
                <c:pt idx="22">
                  <c:v>157.62</c:v>
                </c:pt>
                <c:pt idx="23">
                  <c:v>162.80000000000001</c:v>
                </c:pt>
              </c:numCache>
            </c:numRef>
          </c:yVal>
        </c:ser>
        <c:ser>
          <c:idx val="2"/>
          <c:order val="2"/>
          <c:tx>
            <c:strRef>
              <c:f>Estimator!$CC$129</c:f>
              <c:strCache>
                <c:ptCount val="1"/>
                <c:pt idx="0">
                  <c:v>AZ 37</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Estimator!$CC$130:$CC$153</c:f>
              <c:numCache>
                <c:formatCode>0.00</c:formatCode>
                <c:ptCount val="24"/>
                <c:pt idx="0">
                  <c:v>29.48</c:v>
                </c:pt>
                <c:pt idx="1">
                  <c:v>55.47</c:v>
                </c:pt>
                <c:pt idx="2">
                  <c:v>71.569999999999993</c:v>
                </c:pt>
                <c:pt idx="3">
                  <c:v>82.94</c:v>
                </c:pt>
                <c:pt idx="4">
                  <c:v>92.24</c:v>
                </c:pt>
                <c:pt idx="5">
                  <c:v>100.82</c:v>
                </c:pt>
                <c:pt idx="6">
                  <c:v>109.51</c:v>
                </c:pt>
                <c:pt idx="7">
                  <c:v>118.98</c:v>
                </c:pt>
                <c:pt idx="8">
                  <c:v>129.91</c:v>
                </c:pt>
                <c:pt idx="9">
                  <c:v>142.96</c:v>
                </c:pt>
                <c:pt idx="10">
                  <c:v>158.52000000000001</c:v>
                </c:pt>
                <c:pt idx="11">
                  <c:v>176.14</c:v>
                </c:pt>
                <c:pt idx="12">
                  <c:v>194.17</c:v>
                </c:pt>
                <c:pt idx="13">
                  <c:v>210.72</c:v>
                </c:pt>
                <c:pt idx="14">
                  <c:v>224.8</c:v>
                </c:pt>
                <c:pt idx="15">
                  <c:v>236.53</c:v>
                </c:pt>
                <c:pt idx="16">
                  <c:v>246.76</c:v>
                </c:pt>
                <c:pt idx="17">
                  <c:v>255.68</c:v>
                </c:pt>
                <c:pt idx="18">
                  <c:v>264.2</c:v>
                </c:pt>
                <c:pt idx="19">
                  <c:v>273.06</c:v>
                </c:pt>
                <c:pt idx="20">
                  <c:v>283.33</c:v>
                </c:pt>
                <c:pt idx="21">
                  <c:v>289.52999999999997</c:v>
                </c:pt>
                <c:pt idx="22">
                  <c:v>317.92</c:v>
                </c:pt>
                <c:pt idx="23">
                  <c:v>351.57</c:v>
                </c:pt>
              </c:numCache>
            </c:numRef>
          </c:yVal>
        </c:ser>
        <c:ser>
          <c:idx val="3"/>
          <c:order val="3"/>
          <c:tx>
            <c:strRef>
              <c:f>Estimator!$CD$129</c:f>
              <c:strCache>
                <c:ptCount val="1"/>
                <c:pt idx="0">
                  <c:v>ZEN 37</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Estimator!$CD$130:$CD$153</c:f>
              <c:numCache>
                <c:formatCode>0.00</c:formatCode>
                <c:ptCount val="24"/>
                <c:pt idx="0">
                  <c:v>156.37</c:v>
                </c:pt>
                <c:pt idx="1">
                  <c:v>148.18</c:v>
                </c:pt>
                <c:pt idx="2">
                  <c:v>137.38</c:v>
                </c:pt>
                <c:pt idx="3">
                  <c:v>125.65</c:v>
                </c:pt>
                <c:pt idx="4">
                  <c:v>113.72</c:v>
                </c:pt>
                <c:pt idx="5">
                  <c:v>101.75</c:v>
                </c:pt>
                <c:pt idx="6">
                  <c:v>90.2</c:v>
                </c:pt>
                <c:pt idx="7">
                  <c:v>79.22</c:v>
                </c:pt>
                <c:pt idx="8">
                  <c:v>69.319999999999993</c:v>
                </c:pt>
                <c:pt idx="9">
                  <c:v>61.05</c:v>
                </c:pt>
                <c:pt idx="10">
                  <c:v>55.14</c:v>
                </c:pt>
                <c:pt idx="11">
                  <c:v>52.46</c:v>
                </c:pt>
                <c:pt idx="12">
                  <c:v>53.59</c:v>
                </c:pt>
                <c:pt idx="13">
                  <c:v>58.23</c:v>
                </c:pt>
                <c:pt idx="14">
                  <c:v>65.790000000000006</c:v>
                </c:pt>
                <c:pt idx="15">
                  <c:v>74.83</c:v>
                </c:pt>
                <c:pt idx="16">
                  <c:v>85.32</c:v>
                </c:pt>
                <c:pt idx="17">
                  <c:v>96.71</c:v>
                </c:pt>
                <c:pt idx="18">
                  <c:v>109.9</c:v>
                </c:pt>
                <c:pt idx="19">
                  <c:v>120.55</c:v>
                </c:pt>
                <c:pt idx="20">
                  <c:v>132.5</c:v>
                </c:pt>
                <c:pt idx="21">
                  <c:v>138.21</c:v>
                </c:pt>
                <c:pt idx="22">
                  <c:v>153.35</c:v>
                </c:pt>
                <c:pt idx="23">
                  <c:v>158.62</c:v>
                </c:pt>
              </c:numCache>
            </c:numRef>
          </c:yVal>
        </c:ser>
        <c:ser>
          <c:idx val="4"/>
          <c:order val="4"/>
          <c:tx>
            <c:strRef>
              <c:f>Estimator!$CE$129</c:f>
              <c:strCache>
                <c:ptCount val="1"/>
                <c:pt idx="0">
                  <c:v>AZ 39</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Estimator!$CE$130:$CE$153</c:f>
              <c:numCache>
                <c:formatCode>0.00</c:formatCode>
                <c:ptCount val="24"/>
                <c:pt idx="0">
                  <c:v>36.42</c:v>
                </c:pt>
                <c:pt idx="1">
                  <c:v>58.5</c:v>
                </c:pt>
                <c:pt idx="2">
                  <c:v>73.36</c:v>
                </c:pt>
                <c:pt idx="3">
                  <c:v>84.59</c:v>
                </c:pt>
                <c:pt idx="4">
                  <c:v>94.18</c:v>
                </c:pt>
                <c:pt idx="5">
                  <c:v>103.27</c:v>
                </c:pt>
                <c:pt idx="6">
                  <c:v>112.61</c:v>
                </c:pt>
                <c:pt idx="7">
                  <c:v>122.87</c:v>
                </c:pt>
                <c:pt idx="8">
                  <c:v>134.68</c:v>
                </c:pt>
                <c:pt idx="9">
                  <c:v>148.56</c:v>
                </c:pt>
                <c:pt idx="10">
                  <c:v>164.6</c:v>
                </c:pt>
                <c:pt idx="11">
                  <c:v>182.04</c:v>
                </c:pt>
                <c:pt idx="12">
                  <c:v>199.27</c:v>
                </c:pt>
                <c:pt idx="13">
                  <c:v>214.83</c:v>
                </c:pt>
                <c:pt idx="14">
                  <c:v>228.17</c:v>
                </c:pt>
                <c:pt idx="15">
                  <c:v>239.54</c:v>
                </c:pt>
                <c:pt idx="16">
                  <c:v>249.75</c:v>
                </c:pt>
                <c:pt idx="17">
                  <c:v>258.95999999999998</c:v>
                </c:pt>
                <c:pt idx="18">
                  <c:v>268.07</c:v>
                </c:pt>
                <c:pt idx="19">
                  <c:v>277.91000000000003</c:v>
                </c:pt>
                <c:pt idx="20">
                  <c:v>289.74</c:v>
                </c:pt>
                <c:pt idx="21">
                  <c:v>297.06</c:v>
                </c:pt>
                <c:pt idx="22">
                  <c:v>330.2</c:v>
                </c:pt>
                <c:pt idx="23">
                  <c:v>4.16</c:v>
                </c:pt>
              </c:numCache>
            </c:numRef>
          </c:yVal>
        </c:ser>
        <c:ser>
          <c:idx val="5"/>
          <c:order val="5"/>
          <c:tx>
            <c:strRef>
              <c:f>Estimator!$CF$129</c:f>
              <c:strCache>
                <c:ptCount val="1"/>
                <c:pt idx="0">
                  <c:v>ZEN 39</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Estimator!$CF$130:$CF$153</c:f>
              <c:numCache>
                <c:formatCode>0.00</c:formatCode>
                <c:ptCount val="24"/>
                <c:pt idx="0">
                  <c:v>152.13999999999999</c:v>
                </c:pt>
                <c:pt idx="1">
                  <c:v>143.55000000000001</c:v>
                </c:pt>
                <c:pt idx="2">
                  <c:v>133.07</c:v>
                </c:pt>
                <c:pt idx="3">
                  <c:v>121.55</c:v>
                </c:pt>
                <c:pt idx="4">
                  <c:v>109.95</c:v>
                </c:pt>
                <c:pt idx="5">
                  <c:v>98.5</c:v>
                </c:pt>
                <c:pt idx="6">
                  <c:v>87.49</c:v>
                </c:pt>
                <c:pt idx="7">
                  <c:v>76.28</c:v>
                </c:pt>
                <c:pt idx="8">
                  <c:v>68.150000000000006</c:v>
                </c:pt>
                <c:pt idx="9">
                  <c:v>60.94</c:v>
                </c:pt>
                <c:pt idx="10">
                  <c:v>56.3</c:v>
                </c:pt>
                <c:pt idx="11">
                  <c:v>54.97</c:v>
                </c:pt>
                <c:pt idx="12">
                  <c:v>57.13</c:v>
                </c:pt>
                <c:pt idx="13">
                  <c:v>62.43</c:v>
                </c:pt>
                <c:pt idx="14">
                  <c:v>70.150000000000006</c:v>
                </c:pt>
                <c:pt idx="15">
                  <c:v>79.56</c:v>
                </c:pt>
                <c:pt idx="16">
                  <c:v>89.85</c:v>
                </c:pt>
                <c:pt idx="17">
                  <c:v>100.97</c:v>
                </c:pt>
                <c:pt idx="18">
                  <c:v>112.58</c:v>
                </c:pt>
                <c:pt idx="19">
                  <c:v>124.16</c:v>
                </c:pt>
                <c:pt idx="20">
                  <c:v>135.44999999999999</c:v>
                </c:pt>
                <c:pt idx="21">
                  <c:v>140.80000000000001</c:v>
                </c:pt>
                <c:pt idx="22">
                  <c:v>153.49</c:v>
                </c:pt>
                <c:pt idx="23">
                  <c:v>156.26</c:v>
                </c:pt>
              </c:numCache>
            </c:numRef>
          </c:yVal>
        </c:ser>
        <c:ser>
          <c:idx val="6"/>
          <c:order val="6"/>
          <c:tx>
            <c:strRef>
              <c:f>Estimator!$CG$129</c:f>
              <c:strCache>
                <c:ptCount val="1"/>
                <c:pt idx="0">
                  <c:v>AZ 43</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Estimator!$CG$130:$CG$153</c:f>
              <c:numCache>
                <c:formatCode>0.00</c:formatCode>
                <c:ptCount val="24"/>
                <c:pt idx="0">
                  <c:v>16.84</c:v>
                </c:pt>
                <c:pt idx="1">
                  <c:v>42.83</c:v>
                </c:pt>
                <c:pt idx="2">
                  <c:v>61.63</c:v>
                </c:pt>
                <c:pt idx="3">
                  <c:v>75.569999999999993</c:v>
                </c:pt>
                <c:pt idx="4">
                  <c:v>86.92</c:v>
                </c:pt>
                <c:pt idx="5">
                  <c:v>97.08</c:v>
                </c:pt>
                <c:pt idx="6">
                  <c:v>106.99</c:v>
                </c:pt>
                <c:pt idx="7">
                  <c:v>117.31</c:v>
                </c:pt>
                <c:pt idx="8">
                  <c:v>128.66</c:v>
                </c:pt>
                <c:pt idx="9">
                  <c:v>141.54</c:v>
                </c:pt>
                <c:pt idx="10">
                  <c:v>156.22</c:v>
                </c:pt>
                <c:pt idx="11">
                  <c:v>172.44</c:v>
                </c:pt>
                <c:pt idx="12">
                  <c:v>189.24</c:v>
                </c:pt>
                <c:pt idx="13">
                  <c:v>205.33</c:v>
                </c:pt>
                <c:pt idx="14">
                  <c:v>219.81</c:v>
                </c:pt>
                <c:pt idx="15">
                  <c:v>232.49</c:v>
                </c:pt>
                <c:pt idx="16">
                  <c:v>243.9</c:v>
                </c:pt>
                <c:pt idx="17">
                  <c:v>254.15</c:v>
                </c:pt>
                <c:pt idx="18">
                  <c:v>264.04000000000002</c:v>
                </c:pt>
                <c:pt idx="19">
                  <c:v>274.26</c:v>
                </c:pt>
                <c:pt idx="20">
                  <c:v>285.77999999999997</c:v>
                </c:pt>
                <c:pt idx="21">
                  <c:v>292.45999999999998</c:v>
                </c:pt>
                <c:pt idx="22">
                  <c:v>319.49</c:v>
                </c:pt>
                <c:pt idx="23">
                  <c:v>346.19</c:v>
                </c:pt>
              </c:numCache>
            </c:numRef>
          </c:yVal>
        </c:ser>
        <c:ser>
          <c:idx val="7"/>
          <c:order val="7"/>
          <c:tx>
            <c:strRef>
              <c:f>Estimator!$CH$129</c:f>
              <c:strCache>
                <c:ptCount val="1"/>
                <c:pt idx="0">
                  <c:v>ZEN 43</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Estimator!$CH$130:$CH$153</c:f>
              <c:numCache>
                <c:formatCode>0.00</c:formatCode>
                <c:ptCount val="24"/>
                <c:pt idx="0">
                  <c:v>151.47999999999999</c:v>
                </c:pt>
                <c:pt idx="1">
                  <c:v>145.97</c:v>
                </c:pt>
                <c:pt idx="2">
                  <c:v>137.32</c:v>
                </c:pt>
                <c:pt idx="3">
                  <c:v>127.16</c:v>
                </c:pt>
                <c:pt idx="4">
                  <c:v>116.35</c:v>
                </c:pt>
                <c:pt idx="5">
                  <c:v>105.48</c:v>
                </c:pt>
                <c:pt idx="6">
                  <c:v>94.83</c:v>
                </c:pt>
                <c:pt idx="7">
                  <c:v>84.71</c:v>
                </c:pt>
                <c:pt idx="8">
                  <c:v>75.53</c:v>
                </c:pt>
                <c:pt idx="9">
                  <c:v>67.81</c:v>
                </c:pt>
                <c:pt idx="10">
                  <c:v>62.11</c:v>
                </c:pt>
                <c:pt idx="11">
                  <c:v>59.23</c:v>
                </c:pt>
                <c:pt idx="12">
                  <c:v>59.39</c:v>
                </c:pt>
                <c:pt idx="13">
                  <c:v>62.64</c:v>
                </c:pt>
                <c:pt idx="14">
                  <c:v>68.59</c:v>
                </c:pt>
                <c:pt idx="15">
                  <c:v>76.489999999999995</c:v>
                </c:pt>
                <c:pt idx="16">
                  <c:v>85.59</c:v>
                </c:pt>
                <c:pt idx="17">
                  <c:v>95.7</c:v>
                </c:pt>
                <c:pt idx="18">
                  <c:v>106.52</c:v>
                </c:pt>
                <c:pt idx="19">
                  <c:v>117.42</c:v>
                </c:pt>
                <c:pt idx="20">
                  <c:v>128.15</c:v>
                </c:pt>
                <c:pt idx="21">
                  <c:v>133.35</c:v>
                </c:pt>
                <c:pt idx="22">
                  <c:v>146.69</c:v>
                </c:pt>
                <c:pt idx="23">
                  <c:v>151.75</c:v>
                </c:pt>
              </c:numCache>
            </c:numRef>
          </c:yVal>
        </c:ser>
        <c:ser>
          <c:idx val="8"/>
          <c:order val="8"/>
          <c:tx>
            <c:strRef>
              <c:f>Estimator!$CI$129</c:f>
              <c:strCache>
                <c:ptCount val="1"/>
                <c:pt idx="0">
                  <c:v>AZ 48</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Estimator!$CI$130:$CI$153</c:f>
              <c:numCache>
                <c:formatCode>0.00</c:formatCode>
                <c:ptCount val="24"/>
                <c:pt idx="0">
                  <c:v>16.600000000000001</c:v>
                </c:pt>
                <c:pt idx="1">
                  <c:v>40.28</c:v>
                </c:pt>
                <c:pt idx="2">
                  <c:v>58.8</c:v>
                </c:pt>
                <c:pt idx="3">
                  <c:v>73.349999999999994</c:v>
                </c:pt>
                <c:pt idx="4">
                  <c:v>85.55</c:v>
                </c:pt>
                <c:pt idx="5">
                  <c:v>96.59</c:v>
                </c:pt>
                <c:pt idx="6">
                  <c:v>107.32</c:v>
                </c:pt>
                <c:pt idx="7">
                  <c:v>118.38</c:v>
                </c:pt>
                <c:pt idx="8">
                  <c:v>130.30000000000001</c:v>
                </c:pt>
                <c:pt idx="9">
                  <c:v>143.49</c:v>
                </c:pt>
                <c:pt idx="10">
                  <c:v>158.09</c:v>
                </c:pt>
                <c:pt idx="11">
                  <c:v>173.84</c:v>
                </c:pt>
                <c:pt idx="12">
                  <c:v>189.96</c:v>
                </c:pt>
                <c:pt idx="13">
                  <c:v>205.48</c:v>
                </c:pt>
                <c:pt idx="14">
                  <c:v>219.74</c:v>
                </c:pt>
                <c:pt idx="15">
                  <c:v>232.58</c:v>
                </c:pt>
                <c:pt idx="16">
                  <c:v>244.43</c:v>
                </c:pt>
                <c:pt idx="17">
                  <c:v>255.35</c:v>
                </c:pt>
                <c:pt idx="18">
                  <c:v>266.08</c:v>
                </c:pt>
                <c:pt idx="19">
                  <c:v>277.3</c:v>
                </c:pt>
                <c:pt idx="20">
                  <c:v>289.92</c:v>
                </c:pt>
                <c:pt idx="21">
                  <c:v>297.14</c:v>
                </c:pt>
                <c:pt idx="22">
                  <c:v>324.89</c:v>
                </c:pt>
                <c:pt idx="23">
                  <c:v>349.68</c:v>
                </c:pt>
              </c:numCache>
            </c:numRef>
          </c:yVal>
        </c:ser>
        <c:ser>
          <c:idx val="9"/>
          <c:order val="9"/>
          <c:tx>
            <c:strRef>
              <c:f>Estimator!$CJ$129</c:f>
              <c:strCache>
                <c:ptCount val="1"/>
                <c:pt idx="0">
                  <c:v>ZEN 48</c:v>
                </c:pt>
              </c:strCache>
            </c:strRef>
          </c:tx>
          <c:marker>
            <c:symbol val="none"/>
          </c:marker>
          <c:xVal>
            <c:numRef>
              <c:f>Estimator!$BZ$130:$BZ$153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Estimator!$CJ$130:$CJ$153</c:f>
              <c:numCache>
                <c:formatCode>0.00</c:formatCode>
                <c:ptCount val="24"/>
                <c:pt idx="0">
                  <c:v>147.08000000000001</c:v>
                </c:pt>
                <c:pt idx="1">
                  <c:v>142.22999999999999</c:v>
                </c:pt>
                <c:pt idx="2">
                  <c:v>134.51</c:v>
                </c:pt>
                <c:pt idx="3">
                  <c:v>125.26</c:v>
                </c:pt>
                <c:pt idx="4">
                  <c:v>115.21</c:v>
                </c:pt>
                <c:pt idx="5">
                  <c:v>105.31</c:v>
                </c:pt>
                <c:pt idx="6">
                  <c:v>95.42</c:v>
                </c:pt>
                <c:pt idx="7">
                  <c:v>86.14</c:v>
                </c:pt>
                <c:pt idx="8">
                  <c:v>77.8</c:v>
                </c:pt>
                <c:pt idx="9">
                  <c:v>70.88</c:v>
                </c:pt>
                <c:pt idx="10">
                  <c:v>65.930000000000007</c:v>
                </c:pt>
                <c:pt idx="11">
                  <c:v>63.49</c:v>
                </c:pt>
                <c:pt idx="12">
                  <c:v>63.75</c:v>
                </c:pt>
                <c:pt idx="13">
                  <c:v>66.930000000000007</c:v>
                </c:pt>
                <c:pt idx="14">
                  <c:v>72.38</c:v>
                </c:pt>
                <c:pt idx="15">
                  <c:v>79.739999999999995</c:v>
                </c:pt>
                <c:pt idx="16">
                  <c:v>88.1</c:v>
                </c:pt>
                <c:pt idx="17">
                  <c:v>97.63</c:v>
                </c:pt>
                <c:pt idx="18">
                  <c:v>107.57</c:v>
                </c:pt>
                <c:pt idx="19">
                  <c:v>117.73</c:v>
                </c:pt>
                <c:pt idx="20">
                  <c:v>127.49</c:v>
                </c:pt>
                <c:pt idx="21">
                  <c:v>132.13</c:v>
                </c:pt>
                <c:pt idx="22">
                  <c:v>143.66</c:v>
                </c:pt>
                <c:pt idx="23">
                  <c:v>147.63</c:v>
                </c:pt>
              </c:numCache>
            </c:numRef>
          </c:yVal>
        </c:ser>
        <c:axId val="165735424"/>
        <c:axId val="165893248"/>
      </c:scatterChart>
      <c:valAx>
        <c:axId val="165735424"/>
        <c:scaling>
          <c:orientation val="minMax"/>
        </c:scaling>
        <c:axPos val="b"/>
        <c:title>
          <c:layout/>
        </c:title>
        <c:numFmt formatCode="General" sourceLinked="1"/>
        <c:majorTickMark val="none"/>
        <c:tickLblPos val="nextTo"/>
        <c:crossAx val="165893248"/>
        <c:crosses val="autoZero"/>
        <c:crossBetween val="midCat"/>
      </c:valAx>
      <c:valAx>
        <c:axId val="165893248"/>
        <c:scaling>
          <c:orientation val="minMax"/>
        </c:scaling>
        <c:axPos val="l"/>
        <c:majorGridlines/>
        <c:title>
          <c:layout/>
        </c:title>
        <c:numFmt formatCode="0.00" sourceLinked="1"/>
        <c:majorTickMark val="none"/>
        <c:tickLblPos val="nextTo"/>
        <c:crossAx val="165735424"/>
        <c:crosses val="autoZero"/>
        <c:crossBetween val="midCat"/>
      </c:valAx>
    </c:plotArea>
    <c:legend>
      <c:legendPos val="r"/>
      <c:layout/>
    </c:legend>
    <c:plotVisOnly val="1"/>
  </c:chart>
  <c:printSettings>
    <c:headerFooter/>
    <c:pageMargins b="0.750000000000003" l="0.70000000000000062" r="0.700000000000000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a:pPr>
            <a:r>
              <a:rPr lang="en-US" sz="1000"/>
              <a:t>Direct Solar Irradiance</a:t>
            </a:r>
          </a:p>
        </c:rich>
      </c:tx>
    </c:title>
    <c:plotArea>
      <c:layout/>
      <c:scatterChart>
        <c:scatterStyle val="lineMarker"/>
        <c:ser>
          <c:idx val="0"/>
          <c:order val="0"/>
          <c:tx>
            <c:strRef>
              <c:f>Estimator!$DV$38</c:f>
              <c:strCache>
                <c:ptCount val="1"/>
                <c:pt idx="0">
                  <c:v>U Winter</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Estimator!$DV$39:$DV$129</c:f>
              <c:numCache>
                <c:formatCode>0.00</c:formatCode>
                <c:ptCount val="91"/>
                <c:pt idx="0">
                  <c:v>986.74</c:v>
                </c:pt>
                <c:pt idx="1">
                  <c:v>986.72</c:v>
                </c:pt>
                <c:pt idx="2">
                  <c:v>986.62</c:v>
                </c:pt>
                <c:pt idx="3">
                  <c:v>986.41</c:v>
                </c:pt>
                <c:pt idx="4">
                  <c:v>986.2</c:v>
                </c:pt>
                <c:pt idx="5">
                  <c:v>985.9</c:v>
                </c:pt>
                <c:pt idx="6">
                  <c:v>985.5</c:v>
                </c:pt>
                <c:pt idx="7">
                  <c:v>985.07</c:v>
                </c:pt>
                <c:pt idx="8">
                  <c:v>984.55</c:v>
                </c:pt>
                <c:pt idx="9">
                  <c:v>983.96</c:v>
                </c:pt>
                <c:pt idx="10">
                  <c:v>983.29</c:v>
                </c:pt>
                <c:pt idx="11">
                  <c:v>982.57</c:v>
                </c:pt>
                <c:pt idx="12">
                  <c:v>981.78</c:v>
                </c:pt>
                <c:pt idx="13">
                  <c:v>980.89</c:v>
                </c:pt>
                <c:pt idx="14">
                  <c:v>979.94</c:v>
                </c:pt>
                <c:pt idx="15">
                  <c:v>978.9</c:v>
                </c:pt>
                <c:pt idx="16">
                  <c:v>977.83</c:v>
                </c:pt>
                <c:pt idx="17">
                  <c:v>976.65</c:v>
                </c:pt>
                <c:pt idx="18">
                  <c:v>975.38</c:v>
                </c:pt>
                <c:pt idx="19">
                  <c:v>974.03</c:v>
                </c:pt>
                <c:pt idx="20">
                  <c:v>972.6</c:v>
                </c:pt>
                <c:pt idx="21">
                  <c:v>971.09</c:v>
                </c:pt>
                <c:pt idx="22">
                  <c:v>969.52</c:v>
                </c:pt>
                <c:pt idx="23">
                  <c:v>967.83</c:v>
                </c:pt>
                <c:pt idx="24">
                  <c:v>966.06</c:v>
                </c:pt>
                <c:pt idx="25">
                  <c:v>964.18</c:v>
                </c:pt>
                <c:pt idx="26">
                  <c:v>962.22</c:v>
                </c:pt>
                <c:pt idx="27">
                  <c:v>960.19</c:v>
                </c:pt>
                <c:pt idx="28">
                  <c:v>958.02</c:v>
                </c:pt>
                <c:pt idx="29">
                  <c:v>955.77</c:v>
                </c:pt>
                <c:pt idx="30">
                  <c:v>953.4</c:v>
                </c:pt>
                <c:pt idx="31">
                  <c:v>950.93</c:v>
                </c:pt>
                <c:pt idx="32">
                  <c:v>948.34</c:v>
                </c:pt>
                <c:pt idx="33">
                  <c:v>945.62</c:v>
                </c:pt>
                <c:pt idx="34">
                  <c:v>942.83</c:v>
                </c:pt>
                <c:pt idx="35">
                  <c:v>939.86</c:v>
                </c:pt>
                <c:pt idx="36">
                  <c:v>936.78</c:v>
                </c:pt>
                <c:pt idx="37">
                  <c:v>933.58</c:v>
                </c:pt>
                <c:pt idx="38">
                  <c:v>930.22</c:v>
                </c:pt>
                <c:pt idx="39">
                  <c:v>926.71</c:v>
                </c:pt>
                <c:pt idx="40">
                  <c:v>923.08</c:v>
                </c:pt>
                <c:pt idx="41">
                  <c:v>919.3</c:v>
                </c:pt>
                <c:pt idx="42">
                  <c:v>915.32</c:v>
                </c:pt>
                <c:pt idx="43">
                  <c:v>911.19</c:v>
                </c:pt>
                <c:pt idx="44">
                  <c:v>906.89</c:v>
                </c:pt>
                <c:pt idx="45">
                  <c:v>902.39</c:v>
                </c:pt>
                <c:pt idx="46">
                  <c:v>896.68</c:v>
                </c:pt>
                <c:pt idx="47">
                  <c:v>892.77</c:v>
                </c:pt>
                <c:pt idx="48">
                  <c:v>887.67</c:v>
                </c:pt>
                <c:pt idx="49">
                  <c:v>882.34</c:v>
                </c:pt>
                <c:pt idx="50">
                  <c:v>876.76</c:v>
                </c:pt>
                <c:pt idx="51">
                  <c:v>870.92</c:v>
                </c:pt>
                <c:pt idx="52">
                  <c:v>864.97</c:v>
                </c:pt>
                <c:pt idx="53">
                  <c:v>858.5</c:v>
                </c:pt>
                <c:pt idx="54">
                  <c:v>851.85</c:v>
                </c:pt>
                <c:pt idx="55">
                  <c:v>844.87</c:v>
                </c:pt>
                <c:pt idx="56">
                  <c:v>837.56</c:v>
                </c:pt>
                <c:pt idx="57">
                  <c:v>829.92</c:v>
                </c:pt>
                <c:pt idx="58">
                  <c:v>821.92</c:v>
                </c:pt>
                <c:pt idx="59">
                  <c:v>813.51</c:v>
                </c:pt>
                <c:pt idx="60">
                  <c:v>804.71</c:v>
                </c:pt>
                <c:pt idx="61">
                  <c:v>795.34</c:v>
                </c:pt>
                <c:pt idx="62">
                  <c:v>785.58</c:v>
                </c:pt>
                <c:pt idx="63">
                  <c:v>775.31</c:v>
                </c:pt>
                <c:pt idx="64">
                  <c:v>764.48</c:v>
                </c:pt>
                <c:pt idx="65">
                  <c:v>753.04</c:v>
                </c:pt>
                <c:pt idx="66">
                  <c:v>740.98</c:v>
                </c:pt>
                <c:pt idx="67">
                  <c:v>728.15</c:v>
                </c:pt>
                <c:pt idx="68">
                  <c:v>714.67</c:v>
                </c:pt>
                <c:pt idx="69">
                  <c:v>700.3</c:v>
                </c:pt>
                <c:pt idx="70">
                  <c:v>685.07</c:v>
                </c:pt>
                <c:pt idx="71">
                  <c:v>668.85</c:v>
                </c:pt>
                <c:pt idx="72">
                  <c:v>651.64</c:v>
                </c:pt>
                <c:pt idx="73">
                  <c:v>633.15</c:v>
                </c:pt>
                <c:pt idx="74">
                  <c:v>613.49</c:v>
                </c:pt>
                <c:pt idx="75">
                  <c:v>592.41999999999996</c:v>
                </c:pt>
                <c:pt idx="76">
                  <c:v>569.84</c:v>
                </c:pt>
                <c:pt idx="77">
                  <c:v>545.49</c:v>
                </c:pt>
                <c:pt idx="78">
                  <c:v>519.37</c:v>
                </c:pt>
                <c:pt idx="79">
                  <c:v>491.08</c:v>
                </c:pt>
                <c:pt idx="80">
                  <c:v>460.56</c:v>
                </c:pt>
                <c:pt idx="81">
                  <c:v>427.57</c:v>
                </c:pt>
                <c:pt idx="82">
                  <c:v>391.71</c:v>
                </c:pt>
                <c:pt idx="83">
                  <c:v>352.86</c:v>
                </c:pt>
                <c:pt idx="84">
                  <c:v>310.77999999999997</c:v>
                </c:pt>
                <c:pt idx="85">
                  <c:v>265.24</c:v>
                </c:pt>
                <c:pt idx="86">
                  <c:v>216.29</c:v>
                </c:pt>
                <c:pt idx="87">
                  <c:v>164.14</c:v>
                </c:pt>
                <c:pt idx="88">
                  <c:v>110.2</c:v>
                </c:pt>
                <c:pt idx="89">
                  <c:v>57.73</c:v>
                </c:pt>
                <c:pt idx="90">
                  <c:v>15.86</c:v>
                </c:pt>
              </c:numCache>
            </c:numRef>
          </c:yVal>
        </c:ser>
        <c:ser>
          <c:idx val="1"/>
          <c:order val="1"/>
          <c:tx>
            <c:strRef>
              <c:f>Estimator!$DW$38</c:f>
              <c:strCache>
                <c:ptCount val="1"/>
                <c:pt idx="0">
                  <c:v>U Spring</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Estimator!$DW$39:$DW$129</c:f>
              <c:numCache>
                <c:formatCode>0.00</c:formatCode>
                <c:ptCount val="91"/>
                <c:pt idx="0">
                  <c:v>942.7</c:v>
                </c:pt>
                <c:pt idx="1">
                  <c:v>942.68089263635818</c:v>
                </c:pt>
                <c:pt idx="2">
                  <c:v>942.58535581814863</c:v>
                </c:pt>
                <c:pt idx="3">
                  <c:v>942.38472849990876</c:v>
                </c:pt>
                <c:pt idx="4">
                  <c:v>942.18410118166901</c:v>
                </c:pt>
                <c:pt idx="5">
                  <c:v>941.89749072704058</c:v>
                </c:pt>
                <c:pt idx="6">
                  <c:v>941.51534345420271</c:v>
                </c:pt>
                <c:pt idx="7">
                  <c:v>941.10453513590221</c:v>
                </c:pt>
                <c:pt idx="8">
                  <c:v>940.60774368121281</c:v>
                </c:pt>
                <c:pt idx="9">
                  <c:v>940.04407645377717</c:v>
                </c:pt>
                <c:pt idx="10">
                  <c:v>939.40397977177372</c:v>
                </c:pt>
                <c:pt idx="11">
                  <c:v>938.71611468066567</c:v>
                </c:pt>
                <c:pt idx="12">
                  <c:v>937.96137381681092</c:v>
                </c:pt>
                <c:pt idx="13">
                  <c:v>937.11109613474684</c:v>
                </c:pt>
                <c:pt idx="14">
                  <c:v>936.20349636175695</c:v>
                </c:pt>
                <c:pt idx="15">
                  <c:v>935.2099134523786</c:v>
                </c:pt>
                <c:pt idx="16">
                  <c:v>934.1876694975374</c:v>
                </c:pt>
                <c:pt idx="17">
                  <c:v>933.06033504266577</c:v>
                </c:pt>
                <c:pt idx="18">
                  <c:v>931.84701745140569</c:v>
                </c:pt>
                <c:pt idx="19">
                  <c:v>930.55727040557804</c:v>
                </c:pt>
                <c:pt idx="20">
                  <c:v>929.19109390518281</c:v>
                </c:pt>
                <c:pt idx="21">
                  <c:v>927.74848795022001</c:v>
                </c:pt>
                <c:pt idx="22">
                  <c:v>926.2485599043315</c:v>
                </c:pt>
                <c:pt idx="23">
                  <c:v>924.63398767659169</c:v>
                </c:pt>
                <c:pt idx="24">
                  <c:v>922.94298599428419</c:v>
                </c:pt>
                <c:pt idx="25">
                  <c:v>921.14689381194637</c:v>
                </c:pt>
                <c:pt idx="26">
                  <c:v>919.27437217504109</c:v>
                </c:pt>
                <c:pt idx="27">
                  <c:v>917.33497476538923</c:v>
                </c:pt>
                <c:pt idx="28">
                  <c:v>915.26182581024375</c:v>
                </c:pt>
                <c:pt idx="29">
                  <c:v>913.11224740053115</c:v>
                </c:pt>
                <c:pt idx="30">
                  <c:v>910.8480248089669</c:v>
                </c:pt>
                <c:pt idx="31">
                  <c:v>908.48826539919321</c:v>
                </c:pt>
                <c:pt idx="32">
                  <c:v>906.01386180756845</c:v>
                </c:pt>
                <c:pt idx="33">
                  <c:v>903.41526035227116</c:v>
                </c:pt>
                <c:pt idx="34">
                  <c:v>900.74978312422729</c:v>
                </c:pt>
                <c:pt idx="35">
                  <c:v>897.91233962340641</c:v>
                </c:pt>
                <c:pt idx="36">
                  <c:v>894.9698056225551</c:v>
                </c:pt>
                <c:pt idx="37">
                  <c:v>891.91262743985249</c:v>
                </c:pt>
                <c:pt idx="38">
                  <c:v>888.70259034801472</c:v>
                </c:pt>
                <c:pt idx="39">
                  <c:v>885.3492480288628</c:v>
                </c:pt>
                <c:pt idx="40">
                  <c:v>881.88126152785958</c:v>
                </c:pt>
                <c:pt idx="41">
                  <c:v>878.26996979954185</c:v>
                </c:pt>
                <c:pt idx="42">
                  <c:v>874.46760443480559</c:v>
                </c:pt>
                <c:pt idx="43">
                  <c:v>870.52193384275506</c:v>
                </c:pt>
                <c:pt idx="44">
                  <c:v>866.41385065974828</c:v>
                </c:pt>
                <c:pt idx="45">
                  <c:v>862.11469384032273</c:v>
                </c:pt>
                <c:pt idx="46">
                  <c:v>856.6595415205627</c:v>
                </c:pt>
                <c:pt idx="47">
                  <c:v>852.92405192857291</c:v>
                </c:pt>
                <c:pt idx="48">
                  <c:v>848.05167419989061</c:v>
                </c:pt>
                <c:pt idx="49">
                  <c:v>842.95956178932659</c:v>
                </c:pt>
                <c:pt idx="50">
                  <c:v>837.62860733323873</c:v>
                </c:pt>
                <c:pt idx="51">
                  <c:v>832.04925714980641</c:v>
                </c:pt>
                <c:pt idx="52">
                  <c:v>826.36481646634377</c:v>
                </c:pt>
                <c:pt idx="53">
                  <c:v>820.18358432819184</c:v>
                </c:pt>
                <c:pt idx="54">
                  <c:v>813.83038591726302</c:v>
                </c:pt>
                <c:pt idx="55">
                  <c:v>807.16191600624279</c:v>
                </c:pt>
                <c:pt idx="56">
                  <c:v>800.1781745951314</c:v>
                </c:pt>
                <c:pt idx="57">
                  <c:v>792.87916168392894</c:v>
                </c:pt>
                <c:pt idx="58">
                  <c:v>785.23621622717235</c:v>
                </c:pt>
                <c:pt idx="59">
                  <c:v>777.20156981575701</c:v>
                </c:pt>
                <c:pt idx="60">
                  <c:v>768.79432981332479</c:v>
                </c:pt>
                <c:pt idx="61">
                  <c:v>759.84252994709857</c:v>
                </c:pt>
                <c:pt idx="62">
                  <c:v>750.51813648985558</c:v>
                </c:pt>
                <c:pt idx="63">
                  <c:v>740.70650525974418</c:v>
                </c:pt>
                <c:pt idx="64">
                  <c:v>730.3598678476601</c:v>
                </c:pt>
                <c:pt idx="65">
                  <c:v>719.43045584449806</c:v>
                </c:pt>
                <c:pt idx="66">
                  <c:v>707.90871556843751</c:v>
                </c:pt>
                <c:pt idx="67">
                  <c:v>695.65134179216409</c:v>
                </c:pt>
                <c:pt idx="68">
                  <c:v>682.7729786975292</c:v>
                </c:pt>
                <c:pt idx="69">
                  <c:v>669.04433792083023</c:v>
                </c:pt>
                <c:pt idx="70">
                  <c:v>654.49408050752993</c:v>
                </c:pt>
                <c:pt idx="71">
                  <c:v>638.99800859395589</c:v>
                </c:pt>
                <c:pt idx="72">
                  <c:v>622.55612218010822</c:v>
                </c:pt>
                <c:pt idx="73">
                  <c:v>604.89136449317959</c:v>
                </c:pt>
                <c:pt idx="74">
                  <c:v>586.10882603320022</c:v>
                </c:pt>
                <c:pt idx="75">
                  <c:v>565.97921843646759</c:v>
                </c:pt>
                <c:pt idx="76">
                  <c:v>544.40700488477216</c:v>
                </c:pt>
                <c:pt idx="77">
                  <c:v>521.14378965076924</c:v>
                </c:pt>
                <c:pt idx="78">
                  <c:v>496.18957273445898</c:v>
                </c:pt>
                <c:pt idx="79">
                  <c:v>469.16220686300341</c:v>
                </c:pt>
                <c:pt idx="80">
                  <c:v>440.00436994547704</c:v>
                </c:pt>
                <c:pt idx="81">
                  <c:v>408.48677361817704</c:v>
                </c:pt>
                <c:pt idx="82">
                  <c:v>374.2272706082656</c:v>
                </c:pt>
                <c:pt idx="83">
                  <c:v>337.11121673389141</c:v>
                </c:pt>
                <c:pt idx="84">
                  <c:v>296.90932363135175</c:v>
                </c:pt>
                <c:pt idx="85">
                  <c:v>253.40185661876484</c:v>
                </c:pt>
                <c:pt idx="86">
                  <c:v>206.63658410523541</c:v>
                </c:pt>
                <c:pt idx="87">
                  <c:v>156.81413340900338</c:v>
                </c:pt>
                <c:pt idx="88">
                  <c:v>105.28157366682207</c:v>
                </c:pt>
                <c:pt idx="89">
                  <c:v>55.153405152319763</c:v>
                </c:pt>
                <c:pt idx="90">
                  <c:v>15.152139368019943</c:v>
                </c:pt>
              </c:numCache>
            </c:numRef>
          </c:yVal>
        </c:ser>
        <c:ser>
          <c:idx val="2"/>
          <c:order val="2"/>
          <c:tx>
            <c:strRef>
              <c:f>Estimator!$DX$38</c:f>
              <c:strCache>
                <c:ptCount val="1"/>
                <c:pt idx="0">
                  <c:v>U Summer</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Estimator!$DX$39:$DX$129</c:f>
              <c:numCache>
                <c:formatCode>0.00</c:formatCode>
                <c:ptCount val="91"/>
                <c:pt idx="0">
                  <c:v>932.64</c:v>
                </c:pt>
                <c:pt idx="1">
                  <c:v>932.62109654012204</c:v>
                </c:pt>
                <c:pt idx="2">
                  <c:v>932.52657924073208</c:v>
                </c:pt>
                <c:pt idx="3">
                  <c:v>932.32809291201318</c:v>
                </c:pt>
                <c:pt idx="4">
                  <c:v>932.1296065832945</c:v>
                </c:pt>
                <c:pt idx="5">
                  <c:v>931.84605468512473</c:v>
                </c:pt>
                <c:pt idx="6">
                  <c:v>931.46798548756499</c:v>
                </c:pt>
                <c:pt idx="7">
                  <c:v>931.06156110018856</c:v>
                </c:pt>
                <c:pt idx="8">
                  <c:v>930.57007114336091</c:v>
                </c:pt>
                <c:pt idx="9">
                  <c:v>930.01241907696044</c:v>
                </c:pt>
                <c:pt idx="10">
                  <c:v>929.37915317104807</c:v>
                </c:pt>
                <c:pt idx="11">
                  <c:v>928.69862861544073</c:v>
                </c:pt>
                <c:pt idx="12">
                  <c:v>927.95194195026045</c:v>
                </c:pt>
                <c:pt idx="13">
                  <c:v>927.11073798569032</c:v>
                </c:pt>
                <c:pt idx="14">
                  <c:v>926.21282364148612</c:v>
                </c:pt>
                <c:pt idx="15">
                  <c:v>925.22984372783094</c:v>
                </c:pt>
                <c:pt idx="16">
                  <c:v>924.21850862435906</c:v>
                </c:pt>
                <c:pt idx="17">
                  <c:v>923.10320449155802</c:v>
                </c:pt>
                <c:pt idx="18">
                  <c:v>921.90283478930621</c:v>
                </c:pt>
                <c:pt idx="19">
                  <c:v>920.62685124754239</c:v>
                </c:pt>
                <c:pt idx="20">
                  <c:v>919.27525386626667</c:v>
                </c:pt>
                <c:pt idx="21">
                  <c:v>917.84804264547904</c:v>
                </c:pt>
                <c:pt idx="22">
                  <c:v>916.36412104505746</c:v>
                </c:pt>
                <c:pt idx="23">
                  <c:v>914.76677868536797</c:v>
                </c:pt>
                <c:pt idx="24">
                  <c:v>913.09382248616657</c:v>
                </c:pt>
                <c:pt idx="25">
                  <c:v>911.31689725763624</c:v>
                </c:pt>
                <c:pt idx="26">
                  <c:v>909.46435818959401</c:v>
                </c:pt>
                <c:pt idx="27">
                  <c:v>907.54565701197896</c:v>
                </c:pt>
                <c:pt idx="28">
                  <c:v>905.49463161521771</c:v>
                </c:pt>
                <c:pt idx="29">
                  <c:v>903.36799237894479</c:v>
                </c:pt>
                <c:pt idx="30">
                  <c:v>901.12793238340385</c:v>
                </c:pt>
                <c:pt idx="31">
                  <c:v>898.79335508847305</c:v>
                </c:pt>
                <c:pt idx="32">
                  <c:v>896.34535703427446</c:v>
                </c:pt>
                <c:pt idx="33">
                  <c:v>893.77448649086887</c:v>
                </c:pt>
                <c:pt idx="34">
                  <c:v>891.13745383789046</c:v>
                </c:pt>
                <c:pt idx="35">
                  <c:v>888.33029004601019</c:v>
                </c:pt>
                <c:pt idx="36">
                  <c:v>885.41915722480076</c:v>
                </c:pt>
                <c:pt idx="37">
                  <c:v>882.39460364432375</c:v>
                </c:pt>
                <c:pt idx="38">
                  <c:v>879.21882238482272</c:v>
                </c:pt>
                <c:pt idx="39">
                  <c:v>875.90126517623685</c:v>
                </c:pt>
                <c:pt idx="40">
                  <c:v>872.47028720838318</c:v>
                </c:pt>
                <c:pt idx="41">
                  <c:v>868.89753329144446</c:v>
                </c:pt>
                <c:pt idx="42">
                  <c:v>865.13574477572615</c:v>
                </c:pt>
                <c:pt idx="43">
                  <c:v>861.2321803109229</c:v>
                </c:pt>
                <c:pt idx="44">
                  <c:v>857.16793643715664</c:v>
                </c:pt>
                <c:pt idx="45">
                  <c:v>852.91465796461068</c:v>
                </c:pt>
                <c:pt idx="46">
                  <c:v>847.51772016944676</c:v>
                </c:pt>
                <c:pt idx="47">
                  <c:v>843.82209376330127</c:v>
                </c:pt>
                <c:pt idx="48">
                  <c:v>839.00171149441587</c:v>
                </c:pt>
                <c:pt idx="49">
                  <c:v>833.96393943693374</c:v>
                </c:pt>
                <c:pt idx="50">
                  <c:v>828.6898741309767</c:v>
                </c:pt>
                <c:pt idx="51">
                  <c:v>823.17006384660601</c:v>
                </c:pt>
                <c:pt idx="52">
                  <c:v>817.54628453290638</c:v>
                </c:pt>
                <c:pt idx="53">
                  <c:v>811.43101526237911</c:v>
                </c:pt>
                <c:pt idx="54">
                  <c:v>805.14561485295019</c:v>
                </c:pt>
                <c:pt idx="55">
                  <c:v>798.54830735553435</c:v>
                </c:pt>
                <c:pt idx="56">
                  <c:v>791.63909277013181</c:v>
                </c:pt>
                <c:pt idx="57">
                  <c:v>784.4179710967428</c:v>
                </c:pt>
                <c:pt idx="58">
                  <c:v>776.85658714554995</c:v>
                </c:pt>
                <c:pt idx="59">
                  <c:v>768.9076822668585</c:v>
                </c:pt>
                <c:pt idx="60">
                  <c:v>760.5901599205464</c:v>
                </c:pt>
                <c:pt idx="61">
                  <c:v>751.73388896771178</c:v>
                </c:pt>
                <c:pt idx="62">
                  <c:v>742.50900054725662</c:v>
                </c:pt>
                <c:pt idx="63">
                  <c:v>732.80207389991278</c:v>
                </c:pt>
                <c:pt idx="64">
                  <c:v>722.56585037598563</c:v>
                </c:pt>
                <c:pt idx="65">
                  <c:v>711.75307132577984</c:v>
                </c:pt>
                <c:pt idx="66">
                  <c:v>700.35428501935667</c:v>
                </c:pt>
                <c:pt idx="67">
                  <c:v>688.22771550763105</c:v>
                </c:pt>
                <c:pt idx="68">
                  <c:v>675.48678354987123</c:v>
                </c:pt>
                <c:pt idx="69">
                  <c:v>661.90464762754118</c:v>
                </c:pt>
                <c:pt idx="70">
                  <c:v>647.50966293045792</c:v>
                </c:pt>
                <c:pt idx="71">
                  <c:v>632.17895696941446</c:v>
                </c:pt>
                <c:pt idx="72">
                  <c:v>615.91252974441079</c:v>
                </c:pt>
                <c:pt idx="73">
                  <c:v>598.43628108721646</c:v>
                </c:pt>
                <c:pt idx="74">
                  <c:v>579.85418002716006</c:v>
                </c:pt>
                <c:pt idx="75">
                  <c:v>559.9393850457061</c:v>
                </c:pt>
                <c:pt idx="76">
                  <c:v>538.59737884346441</c:v>
                </c:pt>
                <c:pt idx="77">
                  <c:v>515.58241644202121</c:v>
                </c:pt>
                <c:pt idx="78">
                  <c:v>490.89449784137668</c:v>
                </c:pt>
                <c:pt idx="79">
                  <c:v>464.15555384397101</c:v>
                </c:pt>
                <c:pt idx="80">
                  <c:v>435.30887407017042</c:v>
                </c:pt>
                <c:pt idx="81">
                  <c:v>404.12761700143909</c:v>
                </c:pt>
                <c:pt idx="82">
                  <c:v>370.23371344021723</c:v>
                </c:pt>
                <c:pt idx="83">
                  <c:v>333.51374262723715</c:v>
                </c:pt>
                <c:pt idx="84">
                  <c:v>293.74086304396292</c:v>
                </c:pt>
                <c:pt idx="85">
                  <c:v>250.69768490179783</c:v>
                </c:pt>
                <c:pt idx="86">
                  <c:v>204.43146685043678</c:v>
                </c:pt>
                <c:pt idx="87">
                  <c:v>155.14069521859858</c:v>
                </c:pt>
                <c:pt idx="88">
                  <c:v>104.15806392768104</c:v>
                </c:pt>
                <c:pt idx="89">
                  <c:v>54.564836937795164</c:v>
                </c:pt>
                <c:pt idx="90">
                  <c:v>14.990443683239757</c:v>
                </c:pt>
              </c:numCache>
            </c:numRef>
          </c:yVal>
        </c:ser>
        <c:ser>
          <c:idx val="3"/>
          <c:order val="3"/>
          <c:tx>
            <c:strRef>
              <c:f>Estimator!$DY$38</c:f>
              <c:strCache>
                <c:ptCount val="1"/>
                <c:pt idx="0">
                  <c:v>U Fall</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Estimator!$DY$39:$DY$129</c:f>
              <c:numCache>
                <c:formatCode>0.00</c:formatCode>
                <c:ptCount val="91"/>
                <c:pt idx="0">
                  <c:v>974.83</c:v>
                </c:pt>
                <c:pt idx="1">
                  <c:v>974.81024140097702</c:v>
                </c:pt>
                <c:pt idx="2">
                  <c:v>974.71144840586169</c:v>
                </c:pt>
                <c:pt idx="3">
                  <c:v>974.50398311611968</c:v>
                </c:pt>
                <c:pt idx="4">
                  <c:v>974.29651782637791</c:v>
                </c:pt>
                <c:pt idx="5">
                  <c:v>974.00013884103203</c:v>
                </c:pt>
                <c:pt idx="6">
                  <c:v>973.60496686057115</c:v>
                </c:pt>
                <c:pt idx="7">
                  <c:v>973.18015698157581</c:v>
                </c:pt>
                <c:pt idx="8">
                  <c:v>972.66643340697647</c:v>
                </c:pt>
                <c:pt idx="9">
                  <c:v>972.08355473579672</c:v>
                </c:pt>
                <c:pt idx="10">
                  <c:v>971.42164166852467</c:v>
                </c:pt>
                <c:pt idx="11">
                  <c:v>970.71033210369512</c:v>
                </c:pt>
                <c:pt idx="12">
                  <c:v>969.92986744228472</c:v>
                </c:pt>
                <c:pt idx="13">
                  <c:v>969.05060978575921</c:v>
                </c:pt>
                <c:pt idx="14">
                  <c:v>968.11207633216452</c:v>
                </c:pt>
                <c:pt idx="15">
                  <c:v>967.08462918296618</c:v>
                </c:pt>
                <c:pt idx="16">
                  <c:v>966.02754413523326</c:v>
                </c:pt>
                <c:pt idx="17">
                  <c:v>964.86178679287343</c:v>
                </c:pt>
                <c:pt idx="18">
                  <c:v>963.60711575491018</c:v>
                </c:pt>
                <c:pt idx="19">
                  <c:v>962.27341032085451</c:v>
                </c:pt>
                <c:pt idx="20">
                  <c:v>960.86067049070675</c:v>
                </c:pt>
                <c:pt idx="21">
                  <c:v>959.36889626446691</c:v>
                </c:pt>
                <c:pt idx="22">
                  <c:v>957.81784624115778</c:v>
                </c:pt>
                <c:pt idx="23">
                  <c:v>956.14824462371041</c:v>
                </c:pt>
                <c:pt idx="24">
                  <c:v>954.39960861017084</c:v>
                </c:pt>
                <c:pt idx="25">
                  <c:v>952.54230030200461</c:v>
                </c:pt>
                <c:pt idx="26">
                  <c:v>950.60595759774617</c:v>
                </c:pt>
                <c:pt idx="27">
                  <c:v>948.6004597969071</c:v>
                </c:pt>
                <c:pt idx="28">
                  <c:v>946.45665180290655</c:v>
                </c:pt>
                <c:pt idx="29">
                  <c:v>944.23380941281391</c:v>
                </c:pt>
                <c:pt idx="30">
                  <c:v>941.89241542858304</c:v>
                </c:pt>
                <c:pt idx="31">
                  <c:v>939.45222844923683</c:v>
                </c:pt>
                <c:pt idx="32">
                  <c:v>936.89348987575261</c:v>
                </c:pt>
                <c:pt idx="33">
                  <c:v>934.20632040861835</c:v>
                </c:pt>
                <c:pt idx="34">
                  <c:v>931.44999584490347</c:v>
                </c:pt>
                <c:pt idx="35">
                  <c:v>928.51584388998128</c:v>
                </c:pt>
                <c:pt idx="36">
                  <c:v>925.47301964043208</c:v>
                </c:pt>
                <c:pt idx="37">
                  <c:v>922.31164379674487</c:v>
                </c:pt>
                <c:pt idx="38">
                  <c:v>918.99219916087316</c:v>
                </c:pt>
                <c:pt idx="39">
                  <c:v>915.52456503232872</c:v>
                </c:pt>
                <c:pt idx="40">
                  <c:v>911.93837930964605</c:v>
                </c:pt>
                <c:pt idx="41">
                  <c:v>908.20400409429021</c:v>
                </c:pt>
                <c:pt idx="42">
                  <c:v>904.27204288870428</c:v>
                </c:pt>
                <c:pt idx="43">
                  <c:v>900.1918921904454</c:v>
                </c:pt>
                <c:pt idx="44">
                  <c:v>895.94379340049045</c:v>
                </c:pt>
                <c:pt idx="45">
                  <c:v>891.49810862030529</c:v>
                </c:pt>
                <c:pt idx="46">
                  <c:v>885.85702859922571</c:v>
                </c:pt>
                <c:pt idx="47">
                  <c:v>881.9942224902203</c:v>
                </c:pt>
                <c:pt idx="48">
                  <c:v>876.95577973934371</c:v>
                </c:pt>
                <c:pt idx="49">
                  <c:v>871.6901130997021</c:v>
                </c:pt>
                <c:pt idx="50">
                  <c:v>866.17746397227234</c:v>
                </c:pt>
                <c:pt idx="51">
                  <c:v>860.40795305754307</c:v>
                </c:pt>
                <c:pt idx="52">
                  <c:v>854.52976984818702</c:v>
                </c:pt>
                <c:pt idx="53">
                  <c:v>848.13786306423174</c:v>
                </c:pt>
                <c:pt idx="54">
                  <c:v>841.56812888906916</c:v>
                </c:pt>
                <c:pt idx="55">
                  <c:v>834.67237783002611</c:v>
                </c:pt>
                <c:pt idx="56">
                  <c:v>827.45060988710293</c:v>
                </c:pt>
                <c:pt idx="57">
                  <c:v>819.90282506029962</c:v>
                </c:pt>
                <c:pt idx="58">
                  <c:v>811.99938545108137</c:v>
                </c:pt>
                <c:pt idx="59">
                  <c:v>803.69089456189067</c:v>
                </c:pt>
                <c:pt idx="60">
                  <c:v>794.99711099175067</c:v>
                </c:pt>
                <c:pt idx="61">
                  <c:v>785.74020734945373</c:v>
                </c:pt>
                <c:pt idx="62">
                  <c:v>776.09801102620759</c:v>
                </c:pt>
                <c:pt idx="63">
                  <c:v>765.95197042787356</c:v>
                </c:pt>
                <c:pt idx="64">
                  <c:v>755.2526890568945</c:v>
                </c:pt>
                <c:pt idx="65">
                  <c:v>743.95077041571233</c:v>
                </c:pt>
                <c:pt idx="66">
                  <c:v>732.03633520481583</c:v>
                </c:pt>
                <c:pt idx="67">
                  <c:v>719.36119393153206</c:v>
                </c:pt>
                <c:pt idx="68">
                  <c:v>706.04389818999937</c:v>
                </c:pt>
                <c:pt idx="69">
                  <c:v>691.84734479194117</c:v>
                </c:pt>
                <c:pt idx="70">
                  <c:v>676.80117163589193</c:v>
                </c:pt>
                <c:pt idx="71">
                  <c:v>660.77694782820197</c:v>
                </c:pt>
                <c:pt idx="72">
                  <c:v>643.77467336887116</c:v>
                </c:pt>
                <c:pt idx="73">
                  <c:v>625.50784857206554</c:v>
                </c:pt>
                <c:pt idx="74">
                  <c:v>606.08514573241177</c:v>
                </c:pt>
                <c:pt idx="75">
                  <c:v>585.26946166163327</c:v>
                </c:pt>
                <c:pt idx="76">
                  <c:v>562.96200336461482</c:v>
                </c:pt>
                <c:pt idx="77">
                  <c:v>538.90590905405691</c:v>
                </c:pt>
                <c:pt idx="78">
                  <c:v>513.10117872995932</c:v>
                </c:pt>
                <c:pt idx="79">
                  <c:v>485.15264041186128</c:v>
                </c:pt>
                <c:pt idx="80">
                  <c:v>455.00101830269375</c:v>
                </c:pt>
                <c:pt idx="81">
                  <c:v>422.40920921418007</c:v>
                </c:pt>
                <c:pt idx="82">
                  <c:v>386.98204116585924</c:v>
                </c:pt>
                <c:pt idx="83">
                  <c:v>348.60096256359327</c:v>
                </c:pt>
                <c:pt idx="84">
                  <c:v>307.02887021910533</c:v>
                </c:pt>
                <c:pt idx="85">
                  <c:v>262.03854024363056</c:v>
                </c:pt>
                <c:pt idx="86">
                  <c:v>213.67936913472647</c:v>
                </c:pt>
                <c:pt idx="87">
                  <c:v>162.15882218213508</c:v>
                </c:pt>
                <c:pt idx="88">
                  <c:v>108.86988061698118</c:v>
                </c:pt>
                <c:pt idx="89">
                  <c:v>57.033196080021078</c:v>
                </c:pt>
                <c:pt idx="90">
                  <c:v>15.668569025275149</c:v>
                </c:pt>
              </c:numCache>
            </c:numRef>
          </c:yVal>
        </c:ser>
        <c:ser>
          <c:idx val="4"/>
          <c:order val="4"/>
          <c:tx>
            <c:strRef>
              <c:f>Estimator!$DZ$38</c:f>
              <c:strCache>
                <c:ptCount val="1"/>
                <c:pt idx="0">
                  <c:v>Winter</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Estimator!$DZ$39:$DZ$129</c:f>
              <c:numCache>
                <c:formatCode>0.00</c:formatCode>
                <c:ptCount val="91"/>
                <c:pt idx="0">
                  <c:v>884.17</c:v>
                </c:pt>
                <c:pt idx="1">
                  <c:v>884.15</c:v>
                </c:pt>
                <c:pt idx="2">
                  <c:v>884.03</c:v>
                </c:pt>
                <c:pt idx="3">
                  <c:v>883.73</c:v>
                </c:pt>
                <c:pt idx="4">
                  <c:v>883.44</c:v>
                </c:pt>
                <c:pt idx="5">
                  <c:v>883.06</c:v>
                </c:pt>
                <c:pt idx="6">
                  <c:v>882.5</c:v>
                </c:pt>
                <c:pt idx="7">
                  <c:v>881.9</c:v>
                </c:pt>
                <c:pt idx="8">
                  <c:v>881.23</c:v>
                </c:pt>
                <c:pt idx="9">
                  <c:v>880.42</c:v>
                </c:pt>
                <c:pt idx="10">
                  <c:v>879.54</c:v>
                </c:pt>
                <c:pt idx="11">
                  <c:v>878.55</c:v>
                </c:pt>
                <c:pt idx="12">
                  <c:v>877.52</c:v>
                </c:pt>
                <c:pt idx="13">
                  <c:v>876.29</c:v>
                </c:pt>
                <c:pt idx="14">
                  <c:v>875.03</c:v>
                </c:pt>
                <c:pt idx="15">
                  <c:v>873.64</c:v>
                </c:pt>
                <c:pt idx="16">
                  <c:v>872.19</c:v>
                </c:pt>
                <c:pt idx="17">
                  <c:v>870.64</c:v>
                </c:pt>
                <c:pt idx="18">
                  <c:v>868.94</c:v>
                </c:pt>
                <c:pt idx="19">
                  <c:v>867.1</c:v>
                </c:pt>
                <c:pt idx="20">
                  <c:v>865.16</c:v>
                </c:pt>
                <c:pt idx="21">
                  <c:v>863.16</c:v>
                </c:pt>
                <c:pt idx="22">
                  <c:v>861.07</c:v>
                </c:pt>
                <c:pt idx="23">
                  <c:v>858.81</c:v>
                </c:pt>
                <c:pt idx="24">
                  <c:v>856.44</c:v>
                </c:pt>
                <c:pt idx="25">
                  <c:v>853.91</c:v>
                </c:pt>
                <c:pt idx="26">
                  <c:v>851.31</c:v>
                </c:pt>
                <c:pt idx="27">
                  <c:v>848.59</c:v>
                </c:pt>
                <c:pt idx="28">
                  <c:v>845.68</c:v>
                </c:pt>
                <c:pt idx="29">
                  <c:v>842.73</c:v>
                </c:pt>
                <c:pt idx="30">
                  <c:v>839.56</c:v>
                </c:pt>
                <c:pt idx="31">
                  <c:v>836.28</c:v>
                </c:pt>
                <c:pt idx="32">
                  <c:v>832.82</c:v>
                </c:pt>
                <c:pt idx="33">
                  <c:v>829.22</c:v>
                </c:pt>
                <c:pt idx="34">
                  <c:v>825.53</c:v>
                </c:pt>
                <c:pt idx="35">
                  <c:v>821.59</c:v>
                </c:pt>
                <c:pt idx="36">
                  <c:v>817.54</c:v>
                </c:pt>
                <c:pt idx="37">
                  <c:v>813.27</c:v>
                </c:pt>
                <c:pt idx="38">
                  <c:v>808.87</c:v>
                </c:pt>
                <c:pt idx="39">
                  <c:v>804.19</c:v>
                </c:pt>
                <c:pt idx="40">
                  <c:v>799.44</c:v>
                </c:pt>
                <c:pt idx="41">
                  <c:v>794.47</c:v>
                </c:pt>
                <c:pt idx="42">
                  <c:v>789.25</c:v>
                </c:pt>
                <c:pt idx="43">
                  <c:v>783.88</c:v>
                </c:pt>
                <c:pt idx="44">
                  <c:v>778.22</c:v>
                </c:pt>
                <c:pt idx="45">
                  <c:v>772.38</c:v>
                </c:pt>
                <c:pt idx="46">
                  <c:v>766.23</c:v>
                </c:pt>
                <c:pt idx="47">
                  <c:v>759.84</c:v>
                </c:pt>
                <c:pt idx="48">
                  <c:v>753.24</c:v>
                </c:pt>
                <c:pt idx="49">
                  <c:v>746.33</c:v>
                </c:pt>
                <c:pt idx="50">
                  <c:v>739.15</c:v>
                </c:pt>
                <c:pt idx="51">
                  <c:v>731.62</c:v>
                </c:pt>
                <c:pt idx="52">
                  <c:v>723.86</c:v>
                </c:pt>
                <c:pt idx="53">
                  <c:v>715.76</c:v>
                </c:pt>
                <c:pt idx="54">
                  <c:v>707.25</c:v>
                </c:pt>
                <c:pt idx="55">
                  <c:v>698.42</c:v>
                </c:pt>
                <c:pt idx="56">
                  <c:v>689.16</c:v>
                </c:pt>
                <c:pt idx="57">
                  <c:v>679.55</c:v>
                </c:pt>
                <c:pt idx="58">
                  <c:v>669.48</c:v>
                </c:pt>
                <c:pt idx="59">
                  <c:v>658.98</c:v>
                </c:pt>
                <c:pt idx="60">
                  <c:v>648.05999999999995</c:v>
                </c:pt>
                <c:pt idx="61">
                  <c:v>636.5</c:v>
                </c:pt>
                <c:pt idx="62">
                  <c:v>624.51</c:v>
                </c:pt>
                <c:pt idx="63">
                  <c:v>611.98</c:v>
                </c:pt>
                <c:pt idx="64">
                  <c:v>598.87</c:v>
                </c:pt>
                <c:pt idx="65">
                  <c:v>585.07000000000005</c:v>
                </c:pt>
                <c:pt idx="66">
                  <c:v>570.6</c:v>
                </c:pt>
                <c:pt idx="67">
                  <c:v>555.38</c:v>
                </c:pt>
                <c:pt idx="68">
                  <c:v>539.54</c:v>
                </c:pt>
                <c:pt idx="69">
                  <c:v>522.84</c:v>
                </c:pt>
                <c:pt idx="70">
                  <c:v>505.31</c:v>
                </c:pt>
                <c:pt idx="71">
                  <c:v>486.88</c:v>
                </c:pt>
                <c:pt idx="72">
                  <c:v>467.59</c:v>
                </c:pt>
                <c:pt idx="73">
                  <c:v>447.14</c:v>
                </c:pt>
                <c:pt idx="74">
                  <c:v>425.74</c:v>
                </c:pt>
                <c:pt idx="75">
                  <c:v>403.2</c:v>
                </c:pt>
                <c:pt idx="76">
                  <c:v>379.49</c:v>
                </c:pt>
                <c:pt idx="77">
                  <c:v>354.46</c:v>
                </c:pt>
                <c:pt idx="78">
                  <c:v>328.32</c:v>
                </c:pt>
                <c:pt idx="79">
                  <c:v>300.73</c:v>
                </c:pt>
                <c:pt idx="80">
                  <c:v>271.89</c:v>
                </c:pt>
                <c:pt idx="81">
                  <c:v>241.87</c:v>
                </c:pt>
                <c:pt idx="82">
                  <c:v>210.55</c:v>
                </c:pt>
                <c:pt idx="83">
                  <c:v>178.31</c:v>
                </c:pt>
                <c:pt idx="84">
                  <c:v>145.41999999999999</c:v>
                </c:pt>
                <c:pt idx="85">
                  <c:v>112.39</c:v>
                </c:pt>
                <c:pt idx="86">
                  <c:v>80.069999999999993</c:v>
                </c:pt>
                <c:pt idx="87">
                  <c:v>49.94</c:v>
                </c:pt>
                <c:pt idx="88">
                  <c:v>24.42</c:v>
                </c:pt>
                <c:pt idx="89">
                  <c:v>6.91</c:v>
                </c:pt>
                <c:pt idx="90">
                  <c:v>0.36</c:v>
                </c:pt>
              </c:numCache>
            </c:numRef>
          </c:yVal>
        </c:ser>
        <c:ser>
          <c:idx val="5"/>
          <c:order val="5"/>
          <c:tx>
            <c:strRef>
              <c:f>Estimator!$EA$38</c:f>
              <c:strCache>
                <c:ptCount val="1"/>
                <c:pt idx="0">
                  <c:v>Spring</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Estimator!$EA$39:$EA$129</c:f>
              <c:numCache>
                <c:formatCode>0.00</c:formatCode>
                <c:ptCount val="91"/>
                <c:pt idx="0">
                  <c:v>779.32</c:v>
                </c:pt>
                <c:pt idx="1">
                  <c:v>779.29</c:v>
                </c:pt>
                <c:pt idx="2">
                  <c:v>779.17</c:v>
                </c:pt>
                <c:pt idx="3">
                  <c:v>778.87</c:v>
                </c:pt>
                <c:pt idx="4">
                  <c:v>778.6</c:v>
                </c:pt>
                <c:pt idx="5">
                  <c:v>778.19</c:v>
                </c:pt>
                <c:pt idx="6">
                  <c:v>777.65</c:v>
                </c:pt>
                <c:pt idx="7">
                  <c:v>777.08</c:v>
                </c:pt>
                <c:pt idx="8">
                  <c:v>776.4</c:v>
                </c:pt>
                <c:pt idx="9">
                  <c:v>775.61</c:v>
                </c:pt>
                <c:pt idx="10">
                  <c:v>774.71</c:v>
                </c:pt>
                <c:pt idx="11">
                  <c:v>773.75</c:v>
                </c:pt>
                <c:pt idx="12">
                  <c:v>772.71</c:v>
                </c:pt>
                <c:pt idx="13">
                  <c:v>771.5</c:v>
                </c:pt>
                <c:pt idx="14">
                  <c:v>770.28</c:v>
                </c:pt>
                <c:pt idx="15">
                  <c:v>768.85</c:v>
                </c:pt>
                <c:pt idx="16">
                  <c:v>767.44</c:v>
                </c:pt>
                <c:pt idx="17">
                  <c:v>765.89</c:v>
                </c:pt>
                <c:pt idx="18">
                  <c:v>764.21</c:v>
                </c:pt>
                <c:pt idx="19">
                  <c:v>762.43</c:v>
                </c:pt>
                <c:pt idx="20">
                  <c:v>760.51</c:v>
                </c:pt>
                <c:pt idx="21">
                  <c:v>758.5</c:v>
                </c:pt>
                <c:pt idx="22">
                  <c:v>756.44</c:v>
                </c:pt>
                <c:pt idx="23">
                  <c:v>754.19</c:v>
                </c:pt>
                <c:pt idx="24">
                  <c:v>751.86</c:v>
                </c:pt>
                <c:pt idx="25">
                  <c:v>749.38</c:v>
                </c:pt>
                <c:pt idx="26">
                  <c:v>746.82</c:v>
                </c:pt>
                <c:pt idx="27">
                  <c:v>744.13</c:v>
                </c:pt>
                <c:pt idx="28">
                  <c:v>741.27</c:v>
                </c:pt>
                <c:pt idx="29">
                  <c:v>738.33</c:v>
                </c:pt>
                <c:pt idx="30">
                  <c:v>735.2</c:v>
                </c:pt>
                <c:pt idx="31">
                  <c:v>731.97</c:v>
                </c:pt>
                <c:pt idx="32">
                  <c:v>728.6</c:v>
                </c:pt>
                <c:pt idx="33">
                  <c:v>725.03</c:v>
                </c:pt>
                <c:pt idx="34">
                  <c:v>721.41</c:v>
                </c:pt>
                <c:pt idx="35">
                  <c:v>717.54</c:v>
                </c:pt>
                <c:pt idx="36">
                  <c:v>713.53</c:v>
                </c:pt>
                <c:pt idx="37">
                  <c:v>709.38</c:v>
                </c:pt>
                <c:pt idx="38">
                  <c:v>705.09</c:v>
                </c:pt>
                <c:pt idx="39">
                  <c:v>700.48</c:v>
                </c:pt>
                <c:pt idx="40">
                  <c:v>695.82</c:v>
                </c:pt>
                <c:pt idx="41">
                  <c:v>690.96</c:v>
                </c:pt>
                <c:pt idx="42">
                  <c:v>685.86</c:v>
                </c:pt>
                <c:pt idx="43">
                  <c:v>680.64</c:v>
                </c:pt>
                <c:pt idx="44">
                  <c:v>675.1</c:v>
                </c:pt>
                <c:pt idx="45">
                  <c:v>669.4</c:v>
                </c:pt>
                <c:pt idx="46">
                  <c:v>663.41</c:v>
                </c:pt>
                <c:pt idx="47">
                  <c:v>657.24</c:v>
                </c:pt>
                <c:pt idx="48">
                  <c:v>650.78</c:v>
                </c:pt>
                <c:pt idx="49">
                  <c:v>644.1</c:v>
                </c:pt>
                <c:pt idx="50">
                  <c:v>637.14</c:v>
                </c:pt>
                <c:pt idx="51">
                  <c:v>629.88</c:v>
                </c:pt>
                <c:pt idx="52">
                  <c:v>622.41999999999996</c:v>
                </c:pt>
                <c:pt idx="53">
                  <c:v>614.53</c:v>
                </c:pt>
                <c:pt idx="54">
                  <c:v>606.37</c:v>
                </c:pt>
                <c:pt idx="55">
                  <c:v>597.88</c:v>
                </c:pt>
                <c:pt idx="56">
                  <c:v>589</c:v>
                </c:pt>
                <c:pt idx="57">
                  <c:v>579.78</c:v>
                </c:pt>
                <c:pt idx="58">
                  <c:v>570.15</c:v>
                </c:pt>
                <c:pt idx="59">
                  <c:v>560.11</c:v>
                </c:pt>
                <c:pt idx="60">
                  <c:v>549.67999999999995</c:v>
                </c:pt>
                <c:pt idx="61">
                  <c:v>538.75</c:v>
                </c:pt>
                <c:pt idx="62">
                  <c:v>527.37</c:v>
                </c:pt>
                <c:pt idx="63">
                  <c:v>515.51</c:v>
                </c:pt>
                <c:pt idx="64">
                  <c:v>503.13</c:v>
                </c:pt>
                <c:pt idx="65">
                  <c:v>490.17</c:v>
                </c:pt>
                <c:pt idx="66">
                  <c:v>476.61</c:v>
                </c:pt>
                <c:pt idx="67">
                  <c:v>462.41</c:v>
                </c:pt>
                <c:pt idx="68">
                  <c:v>447.58</c:v>
                </c:pt>
                <c:pt idx="69">
                  <c:v>432.09</c:v>
                </c:pt>
                <c:pt idx="70">
                  <c:v>415.84</c:v>
                </c:pt>
                <c:pt idx="71">
                  <c:v>398.93</c:v>
                </c:pt>
                <c:pt idx="72">
                  <c:v>381.17</c:v>
                </c:pt>
                <c:pt idx="73">
                  <c:v>362.59</c:v>
                </c:pt>
                <c:pt idx="74">
                  <c:v>343.14</c:v>
                </c:pt>
                <c:pt idx="75">
                  <c:v>322.86</c:v>
                </c:pt>
                <c:pt idx="76">
                  <c:v>301.63</c:v>
                </c:pt>
                <c:pt idx="77">
                  <c:v>279.43</c:v>
                </c:pt>
                <c:pt idx="78">
                  <c:v>256.45</c:v>
                </c:pt>
                <c:pt idx="79">
                  <c:v>232.4</c:v>
                </c:pt>
                <c:pt idx="80">
                  <c:v>207.57</c:v>
                </c:pt>
                <c:pt idx="81">
                  <c:v>182.04</c:v>
                </c:pt>
                <c:pt idx="82">
                  <c:v>155.83000000000001</c:v>
                </c:pt>
                <c:pt idx="83">
                  <c:v>129.38</c:v>
                </c:pt>
                <c:pt idx="84">
                  <c:v>102.95</c:v>
                </c:pt>
                <c:pt idx="85">
                  <c:v>77.08</c:v>
                </c:pt>
                <c:pt idx="86">
                  <c:v>52.72</c:v>
                </c:pt>
                <c:pt idx="87">
                  <c:v>30.99</c:v>
                </c:pt>
                <c:pt idx="88">
                  <c:v>13.72</c:v>
                </c:pt>
                <c:pt idx="89">
                  <c:v>3.14</c:v>
                </c:pt>
                <c:pt idx="90">
                  <c:v>0.09</c:v>
                </c:pt>
              </c:numCache>
            </c:numRef>
          </c:yVal>
        </c:ser>
        <c:ser>
          <c:idx val="6"/>
          <c:order val="6"/>
          <c:tx>
            <c:strRef>
              <c:f>Estimator!$EB$38</c:f>
              <c:strCache>
                <c:ptCount val="1"/>
                <c:pt idx="0">
                  <c:v>Summer</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Estimator!$EB$39:$EB$129</c:f>
              <c:numCache>
                <c:formatCode>0.00</c:formatCode>
                <c:ptCount val="91"/>
                <c:pt idx="0">
                  <c:v>771</c:v>
                </c:pt>
                <c:pt idx="1">
                  <c:v>770.97032027921773</c:v>
                </c:pt>
                <c:pt idx="2">
                  <c:v>770.85160139608888</c:v>
                </c:pt>
                <c:pt idx="3">
                  <c:v>770.55480418826664</c:v>
                </c:pt>
                <c:pt idx="4">
                  <c:v>770.28768670122668</c:v>
                </c:pt>
                <c:pt idx="5">
                  <c:v>769.88206385053638</c:v>
                </c:pt>
                <c:pt idx="6">
                  <c:v>769.34782887645633</c:v>
                </c:pt>
                <c:pt idx="7">
                  <c:v>768.78391418159424</c:v>
                </c:pt>
                <c:pt idx="8">
                  <c:v>768.11117384386375</c:v>
                </c:pt>
                <c:pt idx="9">
                  <c:v>767.32960786326532</c:v>
                </c:pt>
                <c:pt idx="10">
                  <c:v>766.43921623979872</c:v>
                </c:pt>
                <c:pt idx="11">
                  <c:v>765.4894651747677</c:v>
                </c:pt>
                <c:pt idx="12">
                  <c:v>764.46056818765078</c:v>
                </c:pt>
                <c:pt idx="13">
                  <c:v>763.26348611610115</c:v>
                </c:pt>
                <c:pt idx="14">
                  <c:v>762.05651080429084</c:v>
                </c:pt>
                <c:pt idx="15">
                  <c:v>760.6417774470051</c:v>
                </c:pt>
                <c:pt idx="16">
                  <c:v>759.24683057024072</c:v>
                </c:pt>
                <c:pt idx="17">
                  <c:v>757.7133783298259</c:v>
                </c:pt>
                <c:pt idx="18">
                  <c:v>756.05131396602167</c:v>
                </c:pt>
                <c:pt idx="19">
                  <c:v>754.29031719960983</c:v>
                </c:pt>
                <c:pt idx="20">
                  <c:v>752.39081506954778</c:v>
                </c:pt>
                <c:pt idx="21">
                  <c:v>750.40227377713893</c:v>
                </c:pt>
                <c:pt idx="22">
                  <c:v>748.36426628342656</c:v>
                </c:pt>
                <c:pt idx="23">
                  <c:v>746.13828722476012</c:v>
                </c:pt>
                <c:pt idx="24">
                  <c:v>743.83316224400755</c:v>
                </c:pt>
                <c:pt idx="25">
                  <c:v>741.37963865934398</c:v>
                </c:pt>
                <c:pt idx="26">
                  <c:v>738.84696915259451</c:v>
                </c:pt>
                <c:pt idx="27">
                  <c:v>736.1856875224554</c:v>
                </c:pt>
                <c:pt idx="28">
                  <c:v>733.35622080788369</c:v>
                </c:pt>
                <c:pt idx="29">
                  <c:v>730.44760817122619</c:v>
                </c:pt>
                <c:pt idx="30">
                  <c:v>727.35102396961452</c:v>
                </c:pt>
                <c:pt idx="31">
                  <c:v>724.15550736539547</c:v>
                </c:pt>
                <c:pt idx="32">
                  <c:v>720.82148539752609</c:v>
                </c:pt>
                <c:pt idx="33">
                  <c:v>717.28959862444174</c:v>
                </c:pt>
                <c:pt idx="34">
                  <c:v>713.70824565005375</c:v>
                </c:pt>
                <c:pt idx="35">
                  <c:v>709.87956166914739</c:v>
                </c:pt>
                <c:pt idx="36">
                  <c:v>705.91237232459059</c:v>
                </c:pt>
                <c:pt idx="37">
                  <c:v>701.80667761638347</c:v>
                </c:pt>
                <c:pt idx="38">
                  <c:v>697.56247754452602</c:v>
                </c:pt>
                <c:pt idx="39">
                  <c:v>693.00169378432474</c:v>
                </c:pt>
                <c:pt idx="40">
                  <c:v>688.39144382281995</c:v>
                </c:pt>
                <c:pt idx="41">
                  <c:v>683.58332905610018</c:v>
                </c:pt>
                <c:pt idx="42">
                  <c:v>678.53777652312272</c:v>
                </c:pt>
                <c:pt idx="43">
                  <c:v>673.37350510701629</c:v>
                </c:pt>
                <c:pt idx="44">
                  <c:v>667.89265000256626</c:v>
                </c:pt>
                <c:pt idx="45">
                  <c:v>662.25350305394431</c:v>
                </c:pt>
                <c:pt idx="46">
                  <c:v>656.32745213776104</c:v>
                </c:pt>
                <c:pt idx="47">
                  <c:v>650.2233228968845</c:v>
                </c:pt>
                <c:pt idx="48">
                  <c:v>643.83228968844628</c:v>
                </c:pt>
                <c:pt idx="49">
                  <c:v>637.22360519427184</c:v>
                </c:pt>
                <c:pt idx="50">
                  <c:v>630.33790997279675</c:v>
                </c:pt>
                <c:pt idx="51">
                  <c:v>623.15541754349942</c:v>
                </c:pt>
                <c:pt idx="52">
                  <c:v>615.77506030898724</c:v>
                </c:pt>
                <c:pt idx="53">
                  <c:v>607.96929374326328</c:v>
                </c:pt>
                <c:pt idx="54">
                  <c:v>599.89640969049935</c:v>
                </c:pt>
                <c:pt idx="55">
                  <c:v>591.49704870913092</c:v>
                </c:pt>
                <c:pt idx="56">
                  <c:v>582.71185135759379</c:v>
                </c:pt>
                <c:pt idx="57">
                  <c:v>573.59028383719135</c:v>
                </c:pt>
                <c:pt idx="58">
                  <c:v>564.06309346609862</c:v>
                </c:pt>
                <c:pt idx="59">
                  <c:v>554.13028024431549</c:v>
                </c:pt>
                <c:pt idx="60">
                  <c:v>543.81163065236353</c:v>
                </c:pt>
                <c:pt idx="61">
                  <c:v>532.99831904737459</c:v>
                </c:pt>
                <c:pt idx="62">
                  <c:v>521.7398116306523</c:v>
                </c:pt>
                <c:pt idx="63">
                  <c:v>510.00642868141449</c:v>
                </c:pt>
                <c:pt idx="64">
                  <c:v>497.75859723861822</c:v>
                </c:pt>
                <c:pt idx="65">
                  <c:v>484.93695786069907</c:v>
                </c:pt>
                <c:pt idx="66">
                  <c:v>471.52172406713544</c:v>
                </c:pt>
                <c:pt idx="67">
                  <c:v>457.47332289688444</c:v>
                </c:pt>
                <c:pt idx="68">
                  <c:v>442.80164759020681</c:v>
                </c:pt>
                <c:pt idx="69">
                  <c:v>427.47701842632029</c:v>
                </c:pt>
                <c:pt idx="70">
                  <c:v>411.4005030026176</c:v>
                </c:pt>
                <c:pt idx="71">
                  <c:v>394.67103372170607</c:v>
                </c:pt>
                <c:pt idx="72">
                  <c:v>377.10063901863163</c:v>
                </c:pt>
                <c:pt idx="73">
                  <c:v>358.71899861417643</c:v>
                </c:pt>
                <c:pt idx="74">
                  <c:v>339.4766463070369</c:v>
                </c:pt>
                <c:pt idx="75">
                  <c:v>319.41315505825588</c:v>
                </c:pt>
                <c:pt idx="76">
                  <c:v>298.40980598470458</c:v>
                </c:pt>
                <c:pt idx="77">
                  <c:v>276.44681260586151</c:v>
                </c:pt>
                <c:pt idx="78">
                  <c:v>253.71214648668067</c:v>
                </c:pt>
                <c:pt idx="79">
                  <c:v>229.91890365960066</c:v>
                </c:pt>
                <c:pt idx="80">
                  <c:v>205.3539880921829</c:v>
                </c:pt>
                <c:pt idx="81">
                  <c:v>180.09654570651335</c:v>
                </c:pt>
                <c:pt idx="82">
                  <c:v>154.16636298311349</c:v>
                </c:pt>
                <c:pt idx="83">
                  <c:v>127.99874249345582</c:v>
                </c:pt>
                <c:pt idx="84">
                  <c:v>101.85090848431965</c:v>
                </c:pt>
                <c:pt idx="85">
                  <c:v>76.257095929784938</c:v>
                </c:pt>
                <c:pt idx="86">
                  <c:v>52.157162654621978</c:v>
                </c:pt>
                <c:pt idx="87">
                  <c:v>30.659151568033664</c:v>
                </c:pt>
                <c:pt idx="88">
                  <c:v>13.573525637735463</c:v>
                </c:pt>
                <c:pt idx="89">
                  <c:v>3.1064774418724013</c:v>
                </c:pt>
                <c:pt idx="90">
                  <c:v>8.9039162346661177E-2</c:v>
                </c:pt>
              </c:numCache>
            </c:numRef>
          </c:yVal>
        </c:ser>
        <c:ser>
          <c:idx val="7"/>
          <c:order val="7"/>
          <c:tx>
            <c:strRef>
              <c:f>Estimator!$EC$38</c:f>
              <c:strCache>
                <c:ptCount val="1"/>
                <c:pt idx="0">
                  <c:v>Fall</c:v>
                </c:pt>
              </c:strCache>
            </c:strRef>
          </c:tx>
          <c:marker>
            <c:symbol val="none"/>
          </c:marker>
          <c:xVal>
            <c:numRef>
              <c:f>Estimator!$DU$39:$DU$129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Estimator!$EC$39:$EC$129</c:f>
              <c:numCache>
                <c:formatCode>0.00</c:formatCode>
                <c:ptCount val="91"/>
                <c:pt idx="0">
                  <c:v>873.5</c:v>
                </c:pt>
                <c:pt idx="1">
                  <c:v>873.48024135630021</c:v>
                </c:pt>
                <c:pt idx="2">
                  <c:v>873.36168949410182</c:v>
                </c:pt>
                <c:pt idx="3">
                  <c:v>873.0653098386058</c:v>
                </c:pt>
                <c:pt idx="4">
                  <c:v>872.77880950495955</c:v>
                </c:pt>
                <c:pt idx="5">
                  <c:v>872.40339527466438</c:v>
                </c:pt>
                <c:pt idx="6">
                  <c:v>871.85015325107167</c:v>
                </c:pt>
                <c:pt idx="7">
                  <c:v>871.2573939400794</c:v>
                </c:pt>
                <c:pt idx="8">
                  <c:v>870.59547937613809</c:v>
                </c:pt>
                <c:pt idx="9">
                  <c:v>869.7952543062986</c:v>
                </c:pt>
                <c:pt idx="10">
                  <c:v>868.92587398350997</c:v>
                </c:pt>
                <c:pt idx="11">
                  <c:v>867.94782112037274</c:v>
                </c:pt>
                <c:pt idx="12">
                  <c:v>866.93025096983615</c:v>
                </c:pt>
                <c:pt idx="13">
                  <c:v>865.71509438230203</c:v>
                </c:pt>
                <c:pt idx="14">
                  <c:v>864.47029982921845</c:v>
                </c:pt>
                <c:pt idx="15">
                  <c:v>863.09707409208636</c:v>
                </c:pt>
                <c:pt idx="16">
                  <c:v>861.66457242385525</c:v>
                </c:pt>
                <c:pt idx="17">
                  <c:v>860.13327753712531</c:v>
                </c:pt>
                <c:pt idx="18">
                  <c:v>858.4537928226473</c:v>
                </c:pt>
                <c:pt idx="19">
                  <c:v>856.63599760227112</c:v>
                </c:pt>
                <c:pt idx="20">
                  <c:v>854.71940916339622</c:v>
                </c:pt>
                <c:pt idx="21">
                  <c:v>852.74354479342207</c:v>
                </c:pt>
                <c:pt idx="22">
                  <c:v>850.67876652679922</c:v>
                </c:pt>
                <c:pt idx="23">
                  <c:v>848.4460397887284</c:v>
                </c:pt>
                <c:pt idx="24">
                  <c:v>846.1046405103092</c:v>
                </c:pt>
                <c:pt idx="25">
                  <c:v>843.60517208229192</c:v>
                </c:pt>
                <c:pt idx="26">
                  <c:v>841.03654840132549</c:v>
                </c:pt>
                <c:pt idx="27">
                  <c:v>838.34937285816079</c:v>
                </c:pt>
                <c:pt idx="28">
                  <c:v>835.47449019984845</c:v>
                </c:pt>
                <c:pt idx="29">
                  <c:v>832.56009025413675</c:v>
                </c:pt>
                <c:pt idx="30">
                  <c:v>829.42834522772762</c:v>
                </c:pt>
                <c:pt idx="31">
                  <c:v>826.18792766097022</c:v>
                </c:pt>
                <c:pt idx="32">
                  <c:v>822.76968230091506</c:v>
                </c:pt>
                <c:pt idx="33">
                  <c:v>819.21312643496162</c:v>
                </c:pt>
                <c:pt idx="34">
                  <c:v>815.56765667235936</c:v>
                </c:pt>
                <c:pt idx="35">
                  <c:v>811.67520386351043</c:v>
                </c:pt>
                <c:pt idx="36">
                  <c:v>807.67407851431278</c:v>
                </c:pt>
                <c:pt idx="37">
                  <c:v>803.45560808441815</c:v>
                </c:pt>
                <c:pt idx="38">
                  <c:v>799.10870647047523</c:v>
                </c:pt>
                <c:pt idx="39">
                  <c:v>794.48518384473584</c:v>
                </c:pt>
                <c:pt idx="40">
                  <c:v>789.79250596604743</c:v>
                </c:pt>
                <c:pt idx="41">
                  <c:v>784.88248300666169</c:v>
                </c:pt>
                <c:pt idx="42">
                  <c:v>779.72547700102928</c:v>
                </c:pt>
                <c:pt idx="43">
                  <c:v>774.4202811676488</c:v>
                </c:pt>
                <c:pt idx="44">
                  <c:v>768.82858500062207</c:v>
                </c:pt>
                <c:pt idx="45">
                  <c:v>763.05906104029771</c:v>
                </c:pt>
                <c:pt idx="46">
                  <c:v>756.98327810262731</c:v>
                </c:pt>
                <c:pt idx="47">
                  <c:v>750.67039144056014</c:v>
                </c:pt>
                <c:pt idx="48">
                  <c:v>744.15003901964565</c:v>
                </c:pt>
                <c:pt idx="49">
                  <c:v>737.32342762138512</c:v>
                </c:pt>
                <c:pt idx="50">
                  <c:v>730.23007453317803</c:v>
                </c:pt>
                <c:pt idx="51">
                  <c:v>722.79094518022555</c:v>
                </c:pt>
                <c:pt idx="52">
                  <c:v>715.12459142472608</c:v>
                </c:pt>
                <c:pt idx="53">
                  <c:v>707.12234072633089</c:v>
                </c:pt>
                <c:pt idx="54">
                  <c:v>698.71503783209118</c:v>
                </c:pt>
                <c:pt idx="55">
                  <c:v>689.99159663865544</c:v>
                </c:pt>
                <c:pt idx="56">
                  <c:v>680.84334460567538</c:v>
                </c:pt>
                <c:pt idx="57">
                  <c:v>671.34931630794972</c:v>
                </c:pt>
                <c:pt idx="58">
                  <c:v>661.4008392051303</c:v>
                </c:pt>
                <c:pt idx="59">
                  <c:v>651.02755126276622</c:v>
                </c:pt>
                <c:pt idx="60">
                  <c:v>640.23933180270762</c:v>
                </c:pt>
                <c:pt idx="61">
                  <c:v>628.81883574425729</c:v>
                </c:pt>
                <c:pt idx="62">
                  <c:v>616.97352884626264</c:v>
                </c:pt>
                <c:pt idx="63">
                  <c:v>604.59473856837485</c:v>
                </c:pt>
                <c:pt idx="64">
                  <c:v>591.64294762319469</c:v>
                </c:pt>
                <c:pt idx="65">
                  <c:v>578.00948347037343</c:v>
                </c:pt>
                <c:pt idx="66">
                  <c:v>563.71410475361074</c:v>
                </c:pt>
                <c:pt idx="67">
                  <c:v>548.67777689810782</c:v>
                </c:pt>
                <c:pt idx="68">
                  <c:v>533.02893108791295</c:v>
                </c:pt>
                <c:pt idx="69">
                  <c:v>516.53046359862924</c:v>
                </c:pt>
                <c:pt idx="70">
                  <c:v>499.21201239580625</c:v>
                </c:pt>
                <c:pt idx="71">
                  <c:v>481.00442222649491</c:v>
                </c:pt>
                <c:pt idx="72">
                  <c:v>461.94721037809478</c:v>
                </c:pt>
                <c:pt idx="73">
                  <c:v>441.7439971951095</c:v>
                </c:pt>
                <c:pt idx="74">
                  <c:v>420.60224843638667</c:v>
                </c:pt>
                <c:pt idx="75">
                  <c:v>398.3342569867786</c:v>
                </c:pt>
                <c:pt idx="76">
                  <c:v>374.91038488073565</c:v>
                </c:pt>
                <c:pt idx="77">
                  <c:v>350.1824422905097</c:v>
                </c:pt>
                <c:pt idx="78">
                  <c:v>324.35789497494824</c:v>
                </c:pt>
                <c:pt idx="79">
                  <c:v>297.10084599115555</c:v>
                </c:pt>
                <c:pt idx="80">
                  <c:v>268.60888177612901</c:v>
                </c:pt>
                <c:pt idx="81">
                  <c:v>238.95115758281781</c:v>
                </c:pt>
                <c:pt idx="82">
                  <c:v>208.0091215490234</c:v>
                </c:pt>
                <c:pt idx="83">
                  <c:v>176.15818790504088</c:v>
                </c:pt>
                <c:pt idx="84">
                  <c:v>143.66509834081683</c:v>
                </c:pt>
                <c:pt idx="85">
                  <c:v>111.03369827069456</c:v>
                </c:pt>
                <c:pt idx="86">
                  <c:v>79.103730051913089</c:v>
                </c:pt>
                <c:pt idx="87">
                  <c:v>49.337333318253279</c:v>
                </c:pt>
                <c:pt idx="88">
                  <c:v>24.125303957383764</c:v>
                </c:pt>
                <c:pt idx="89">
                  <c:v>6.8266113982605159</c:v>
                </c:pt>
                <c:pt idx="90">
                  <c:v>0.35565558659533802</c:v>
                </c:pt>
              </c:numCache>
            </c:numRef>
          </c:yVal>
        </c:ser>
        <c:axId val="165958784"/>
        <c:axId val="165960704"/>
      </c:scatterChart>
      <c:valAx>
        <c:axId val="165958784"/>
        <c:scaling>
          <c:orientation val="minMax"/>
          <c:max val="90"/>
        </c:scaling>
        <c:axPos val="b"/>
        <c:majorGridlines/>
        <c:title>
          <c:tx>
            <c:rich>
              <a:bodyPr/>
              <a:lstStyle/>
              <a:p>
                <a:pPr>
                  <a:defRPr/>
                </a:pPr>
                <a:r>
                  <a:rPr lang="en-US"/>
                  <a:t>Zenith (deg)</a:t>
                </a:r>
              </a:p>
            </c:rich>
          </c:tx>
        </c:title>
        <c:numFmt formatCode="General" sourceLinked="1"/>
        <c:minorTickMark val="out"/>
        <c:tickLblPos val="nextTo"/>
        <c:crossAx val="165960704"/>
        <c:crosses val="autoZero"/>
        <c:crossBetween val="midCat"/>
        <c:majorUnit val="10"/>
        <c:minorUnit val="5"/>
      </c:valAx>
      <c:valAx>
        <c:axId val="165960704"/>
        <c:scaling>
          <c:orientation val="minMax"/>
        </c:scaling>
        <c:axPos val="l"/>
        <c:majorGridlines/>
        <c:title>
          <c:tx>
            <c:rich>
              <a:bodyPr/>
              <a:lstStyle/>
              <a:p>
                <a:pPr>
                  <a:defRPr/>
                </a:pPr>
                <a:r>
                  <a:rPr lang="en-US"/>
                  <a:t>Irradiance (W/sq m)</a:t>
                </a:r>
              </a:p>
            </c:rich>
          </c:tx>
        </c:title>
        <c:numFmt formatCode="0" sourceLinked="0"/>
        <c:majorTickMark val="none"/>
        <c:tickLblPos val="nextTo"/>
        <c:crossAx val="165958784"/>
        <c:crosses val="autoZero"/>
        <c:crossBetween val="midCat"/>
      </c:valAx>
    </c:plotArea>
    <c:legend>
      <c:legendPos val="r"/>
    </c:legend>
    <c:plotVisOnly val="1"/>
  </c:chart>
  <c:printSettings>
    <c:headerFooter/>
    <c:pageMargins b="0.75000000000000133" l="0.70000000000000062" r="0.70000000000000062" t="0.750000000000001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a:pPr>
            <a:r>
              <a:rPr lang="en-US" sz="1000"/>
              <a:t>Diffuse sky radiance</a:t>
            </a:r>
          </a:p>
        </c:rich>
      </c:tx>
    </c:title>
    <c:plotArea>
      <c:layout/>
      <c:scatterChart>
        <c:scatterStyle val="lineMarker"/>
        <c:ser>
          <c:idx val="0"/>
          <c:order val="0"/>
          <c:tx>
            <c:strRef>
              <c:f>Estimator!$EF$38</c:f>
              <c:strCache>
                <c:ptCount val="1"/>
                <c:pt idx="0">
                  <c:v>U Winter</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Estimator!$EF$39:$EF$129</c:f>
              <c:numCache>
                <c:formatCode>0.00</c:formatCode>
                <c:ptCount val="91"/>
                <c:pt idx="0">
                  <c:v>43.24</c:v>
                </c:pt>
                <c:pt idx="1">
                  <c:v>43.100999999999999</c:v>
                </c:pt>
                <c:pt idx="2">
                  <c:v>42.961999999999996</c:v>
                </c:pt>
                <c:pt idx="3">
                  <c:v>42.822999999999993</c:v>
                </c:pt>
                <c:pt idx="4">
                  <c:v>42.68399999999999</c:v>
                </c:pt>
                <c:pt idx="5">
                  <c:v>42.544999999999987</c:v>
                </c:pt>
                <c:pt idx="6">
                  <c:v>42.405999999999985</c:v>
                </c:pt>
                <c:pt idx="7">
                  <c:v>42.266999999999982</c:v>
                </c:pt>
                <c:pt idx="8">
                  <c:v>42.127999999999979</c:v>
                </c:pt>
                <c:pt idx="9">
                  <c:v>41.988999999999976</c:v>
                </c:pt>
                <c:pt idx="10">
                  <c:v>41.849999999999994</c:v>
                </c:pt>
                <c:pt idx="11">
                  <c:v>41.445999999999998</c:v>
                </c:pt>
                <c:pt idx="12">
                  <c:v>41.042000000000002</c:v>
                </c:pt>
                <c:pt idx="13">
                  <c:v>40.638000000000005</c:v>
                </c:pt>
                <c:pt idx="14">
                  <c:v>40.234000000000009</c:v>
                </c:pt>
                <c:pt idx="15">
                  <c:v>39.830000000000013</c:v>
                </c:pt>
                <c:pt idx="16">
                  <c:v>39.426000000000016</c:v>
                </c:pt>
                <c:pt idx="17">
                  <c:v>39.02200000000002</c:v>
                </c:pt>
                <c:pt idx="18">
                  <c:v>38.618000000000023</c:v>
                </c:pt>
                <c:pt idx="19">
                  <c:v>38.214000000000027</c:v>
                </c:pt>
                <c:pt idx="20">
                  <c:v>37.809999999999995</c:v>
                </c:pt>
                <c:pt idx="21">
                  <c:v>37.227666666666664</c:v>
                </c:pt>
                <c:pt idx="22">
                  <c:v>36.645333333333333</c:v>
                </c:pt>
                <c:pt idx="23">
                  <c:v>36.063000000000002</c:v>
                </c:pt>
                <c:pt idx="24">
                  <c:v>35.480666666666671</c:v>
                </c:pt>
                <c:pt idx="25">
                  <c:v>34.898333333333341</c:v>
                </c:pt>
                <c:pt idx="26">
                  <c:v>34.31600000000001</c:v>
                </c:pt>
                <c:pt idx="27">
                  <c:v>33.733666666666679</c:v>
                </c:pt>
                <c:pt idx="28">
                  <c:v>33.151333333333348</c:v>
                </c:pt>
                <c:pt idx="29">
                  <c:v>32.569000000000017</c:v>
                </c:pt>
                <c:pt idx="30">
                  <c:v>31.986666666666665</c:v>
                </c:pt>
                <c:pt idx="31">
                  <c:v>31.383333333333333</c:v>
                </c:pt>
                <c:pt idx="32">
                  <c:v>30.78</c:v>
                </c:pt>
                <c:pt idx="33">
                  <c:v>30.176666666666669</c:v>
                </c:pt>
                <c:pt idx="34">
                  <c:v>29.573333333333338</c:v>
                </c:pt>
                <c:pt idx="35">
                  <c:v>28.970000000000006</c:v>
                </c:pt>
                <c:pt idx="36">
                  <c:v>28.366666666666674</c:v>
                </c:pt>
                <c:pt idx="37">
                  <c:v>27.763333333333343</c:v>
                </c:pt>
                <c:pt idx="38">
                  <c:v>27.160000000000011</c:v>
                </c:pt>
                <c:pt idx="39">
                  <c:v>26.556666666666679</c:v>
                </c:pt>
                <c:pt idx="40">
                  <c:v>25.953333333333333</c:v>
                </c:pt>
                <c:pt idx="41">
                  <c:v>25.428999999999998</c:v>
                </c:pt>
                <c:pt idx="42">
                  <c:v>24.904666666666664</c:v>
                </c:pt>
                <c:pt idx="43">
                  <c:v>24.380333333333329</c:v>
                </c:pt>
                <c:pt idx="44">
                  <c:v>23.855999999999995</c:v>
                </c:pt>
                <c:pt idx="45">
                  <c:v>23.33166666666666</c:v>
                </c:pt>
                <c:pt idx="46">
                  <c:v>22.807333333333325</c:v>
                </c:pt>
                <c:pt idx="47">
                  <c:v>22.282999999999991</c:v>
                </c:pt>
                <c:pt idx="48">
                  <c:v>21.758666666666656</c:v>
                </c:pt>
                <c:pt idx="49">
                  <c:v>21.234333333333321</c:v>
                </c:pt>
                <c:pt idx="50">
                  <c:v>20.71</c:v>
                </c:pt>
                <c:pt idx="51">
                  <c:v>20.266000000000002</c:v>
                </c:pt>
                <c:pt idx="52">
                  <c:v>19.822000000000003</c:v>
                </c:pt>
                <c:pt idx="53">
                  <c:v>19.378000000000004</c:v>
                </c:pt>
                <c:pt idx="54">
                  <c:v>18.934000000000005</c:v>
                </c:pt>
                <c:pt idx="55">
                  <c:v>18.490000000000006</c:v>
                </c:pt>
                <c:pt idx="56">
                  <c:v>18.046000000000006</c:v>
                </c:pt>
                <c:pt idx="57">
                  <c:v>17.602000000000007</c:v>
                </c:pt>
                <c:pt idx="58">
                  <c:v>17.158000000000008</c:v>
                </c:pt>
                <c:pt idx="59">
                  <c:v>16.714000000000009</c:v>
                </c:pt>
                <c:pt idx="60">
                  <c:v>16.27</c:v>
                </c:pt>
                <c:pt idx="61">
                  <c:v>15.876999999999999</c:v>
                </c:pt>
                <c:pt idx="62">
                  <c:v>15.483999999999998</c:v>
                </c:pt>
                <c:pt idx="63">
                  <c:v>15.090999999999998</c:v>
                </c:pt>
                <c:pt idx="64">
                  <c:v>14.697999999999997</c:v>
                </c:pt>
                <c:pt idx="65">
                  <c:v>14.304999999999996</c:v>
                </c:pt>
                <c:pt idx="66">
                  <c:v>13.911999999999995</c:v>
                </c:pt>
                <c:pt idx="67">
                  <c:v>13.518999999999995</c:v>
                </c:pt>
                <c:pt idx="68">
                  <c:v>13.125999999999994</c:v>
                </c:pt>
                <c:pt idx="69">
                  <c:v>12.732999999999993</c:v>
                </c:pt>
                <c:pt idx="70">
                  <c:v>12.340000000000002</c:v>
                </c:pt>
                <c:pt idx="71">
                  <c:v>11.889000000000001</c:v>
                </c:pt>
                <c:pt idx="72">
                  <c:v>11.438000000000001</c:v>
                </c:pt>
                <c:pt idx="73">
                  <c:v>10.987</c:v>
                </c:pt>
                <c:pt idx="74">
                  <c:v>10.536</c:v>
                </c:pt>
                <c:pt idx="75">
                  <c:v>10.084999999999999</c:v>
                </c:pt>
                <c:pt idx="76">
                  <c:v>9.6339999999999986</c:v>
                </c:pt>
                <c:pt idx="77">
                  <c:v>9.1829999999999981</c:v>
                </c:pt>
                <c:pt idx="78">
                  <c:v>8.7319999999999975</c:v>
                </c:pt>
                <c:pt idx="79">
                  <c:v>8.280999999999997</c:v>
                </c:pt>
                <c:pt idx="80">
                  <c:v>7.8299999999999992</c:v>
                </c:pt>
                <c:pt idx="81">
                  <c:v>7.1766666666666659</c:v>
                </c:pt>
                <c:pt idx="82">
                  <c:v>6.5233333333333325</c:v>
                </c:pt>
                <c:pt idx="83">
                  <c:v>5.8699999999999992</c:v>
                </c:pt>
                <c:pt idx="84">
                  <c:v>5.2166666666666659</c:v>
                </c:pt>
                <c:pt idx="85">
                  <c:v>4.5633333333333326</c:v>
                </c:pt>
                <c:pt idx="86">
                  <c:v>3.9099999999999993</c:v>
                </c:pt>
                <c:pt idx="87">
                  <c:v>3.2566666666666659</c:v>
                </c:pt>
                <c:pt idx="88">
                  <c:v>2.6033333333333326</c:v>
                </c:pt>
                <c:pt idx="89">
                  <c:v>1.9499999999999993</c:v>
                </c:pt>
                <c:pt idx="90">
                  <c:v>1.2966666666666666</c:v>
                </c:pt>
              </c:numCache>
            </c:numRef>
          </c:yVal>
        </c:ser>
        <c:ser>
          <c:idx val="1"/>
          <c:order val="1"/>
          <c:tx>
            <c:strRef>
              <c:f>Estimator!$EG$38</c:f>
              <c:strCache>
                <c:ptCount val="1"/>
                <c:pt idx="0">
                  <c:v>U Spring</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Estimator!$EG$39:$EG$129</c:f>
              <c:numCache>
                <c:formatCode>0.00</c:formatCode>
                <c:ptCount val="91"/>
                <c:pt idx="0">
                  <c:v>41.31</c:v>
                </c:pt>
                <c:pt idx="1">
                  <c:v>41.177</c:v>
                </c:pt>
                <c:pt idx="2">
                  <c:v>41.043999999999997</c:v>
                </c:pt>
                <c:pt idx="3">
                  <c:v>40.910999999999994</c:v>
                </c:pt>
                <c:pt idx="4">
                  <c:v>40.777999999999992</c:v>
                </c:pt>
                <c:pt idx="5">
                  <c:v>40.644999999999989</c:v>
                </c:pt>
                <c:pt idx="6">
                  <c:v>40.511999999999986</c:v>
                </c:pt>
                <c:pt idx="7">
                  <c:v>40.378999999999984</c:v>
                </c:pt>
                <c:pt idx="8">
                  <c:v>40.245999999999981</c:v>
                </c:pt>
                <c:pt idx="9">
                  <c:v>40.112999999999978</c:v>
                </c:pt>
                <c:pt idx="10">
                  <c:v>39.980000000000004</c:v>
                </c:pt>
                <c:pt idx="11">
                  <c:v>39.594000000000001</c:v>
                </c:pt>
                <c:pt idx="12">
                  <c:v>39.207999999999998</c:v>
                </c:pt>
                <c:pt idx="13">
                  <c:v>38.821999999999996</c:v>
                </c:pt>
                <c:pt idx="14">
                  <c:v>38.435999999999993</c:v>
                </c:pt>
                <c:pt idx="15">
                  <c:v>38.04999999999999</c:v>
                </c:pt>
                <c:pt idx="16">
                  <c:v>37.663999999999987</c:v>
                </c:pt>
                <c:pt idx="17">
                  <c:v>37.277999999999984</c:v>
                </c:pt>
                <c:pt idx="18">
                  <c:v>36.891999999999982</c:v>
                </c:pt>
                <c:pt idx="19">
                  <c:v>36.505999999999979</c:v>
                </c:pt>
                <c:pt idx="20">
                  <c:v>36.119999999999997</c:v>
                </c:pt>
                <c:pt idx="21">
                  <c:v>35.56433333333333</c:v>
                </c:pt>
                <c:pt idx="22">
                  <c:v>35.008666666666663</c:v>
                </c:pt>
                <c:pt idx="23">
                  <c:v>34.452999999999996</c:v>
                </c:pt>
                <c:pt idx="24">
                  <c:v>33.897333333333329</c:v>
                </c:pt>
                <c:pt idx="25">
                  <c:v>33.341666666666661</c:v>
                </c:pt>
                <c:pt idx="26">
                  <c:v>32.785999999999994</c:v>
                </c:pt>
                <c:pt idx="27">
                  <c:v>32.230333333333327</c:v>
                </c:pt>
                <c:pt idx="28">
                  <c:v>31.67466666666666</c:v>
                </c:pt>
                <c:pt idx="29">
                  <c:v>31.118999999999993</c:v>
                </c:pt>
                <c:pt idx="30">
                  <c:v>30.563333333333333</c:v>
                </c:pt>
                <c:pt idx="31">
                  <c:v>29.986666666666665</c:v>
                </c:pt>
                <c:pt idx="32">
                  <c:v>29.409999999999997</c:v>
                </c:pt>
                <c:pt idx="33">
                  <c:v>28.833333333333329</c:v>
                </c:pt>
                <c:pt idx="34">
                  <c:v>28.256666666666661</c:v>
                </c:pt>
                <c:pt idx="35">
                  <c:v>27.679999999999993</c:v>
                </c:pt>
                <c:pt idx="36">
                  <c:v>27.103333333333325</c:v>
                </c:pt>
                <c:pt idx="37">
                  <c:v>26.526666666666657</c:v>
                </c:pt>
                <c:pt idx="38">
                  <c:v>25.949999999999989</c:v>
                </c:pt>
                <c:pt idx="39">
                  <c:v>25.373333333333321</c:v>
                </c:pt>
                <c:pt idx="40">
                  <c:v>24.796666666666667</c:v>
                </c:pt>
                <c:pt idx="41">
                  <c:v>24.295333333333332</c:v>
                </c:pt>
                <c:pt idx="42">
                  <c:v>23.793999999999997</c:v>
                </c:pt>
                <c:pt idx="43">
                  <c:v>23.292666666666662</c:v>
                </c:pt>
                <c:pt idx="44">
                  <c:v>22.791333333333327</c:v>
                </c:pt>
                <c:pt idx="45">
                  <c:v>22.289999999999992</c:v>
                </c:pt>
                <c:pt idx="46">
                  <c:v>21.788666666666657</c:v>
                </c:pt>
                <c:pt idx="47">
                  <c:v>21.287333333333322</c:v>
                </c:pt>
                <c:pt idx="48">
                  <c:v>20.785999999999987</c:v>
                </c:pt>
                <c:pt idx="49">
                  <c:v>20.284666666666652</c:v>
                </c:pt>
                <c:pt idx="50">
                  <c:v>19.783333333333335</c:v>
                </c:pt>
                <c:pt idx="51">
                  <c:v>19.360000000000003</c:v>
                </c:pt>
                <c:pt idx="52">
                  <c:v>18.936666666666671</c:v>
                </c:pt>
                <c:pt idx="53">
                  <c:v>18.513333333333339</c:v>
                </c:pt>
                <c:pt idx="54">
                  <c:v>18.090000000000007</c:v>
                </c:pt>
                <c:pt idx="55">
                  <c:v>17.666666666666675</c:v>
                </c:pt>
                <c:pt idx="56">
                  <c:v>17.243333333333343</c:v>
                </c:pt>
                <c:pt idx="57">
                  <c:v>16.820000000000011</c:v>
                </c:pt>
                <c:pt idx="58">
                  <c:v>16.396666666666679</c:v>
                </c:pt>
                <c:pt idx="59">
                  <c:v>15.973333333333345</c:v>
                </c:pt>
                <c:pt idx="60">
                  <c:v>15.549999999999999</c:v>
                </c:pt>
                <c:pt idx="61">
                  <c:v>15.173999999999999</c:v>
                </c:pt>
                <c:pt idx="62">
                  <c:v>14.798</c:v>
                </c:pt>
                <c:pt idx="63">
                  <c:v>14.422000000000001</c:v>
                </c:pt>
                <c:pt idx="64">
                  <c:v>14.046000000000001</c:v>
                </c:pt>
                <c:pt idx="65">
                  <c:v>13.670000000000002</c:v>
                </c:pt>
                <c:pt idx="66">
                  <c:v>13.294000000000002</c:v>
                </c:pt>
                <c:pt idx="67">
                  <c:v>12.918000000000003</c:v>
                </c:pt>
                <c:pt idx="68">
                  <c:v>12.542000000000003</c:v>
                </c:pt>
                <c:pt idx="69">
                  <c:v>12.166000000000004</c:v>
                </c:pt>
                <c:pt idx="70">
                  <c:v>11.790000000000001</c:v>
                </c:pt>
                <c:pt idx="71">
                  <c:v>11.358666666666668</c:v>
                </c:pt>
                <c:pt idx="72">
                  <c:v>10.927333333333335</c:v>
                </c:pt>
                <c:pt idx="73">
                  <c:v>10.496000000000002</c:v>
                </c:pt>
                <c:pt idx="74">
                  <c:v>10.064666666666669</c:v>
                </c:pt>
                <c:pt idx="75">
                  <c:v>9.6333333333333364</c:v>
                </c:pt>
                <c:pt idx="76">
                  <c:v>9.2020000000000035</c:v>
                </c:pt>
                <c:pt idx="77">
                  <c:v>8.7706666666666706</c:v>
                </c:pt>
                <c:pt idx="78">
                  <c:v>8.3393333333333377</c:v>
                </c:pt>
                <c:pt idx="79">
                  <c:v>7.9080000000000039</c:v>
                </c:pt>
                <c:pt idx="80">
                  <c:v>7.4766666666666666</c:v>
                </c:pt>
                <c:pt idx="81">
                  <c:v>6.8529999999999998</c:v>
                </c:pt>
                <c:pt idx="82">
                  <c:v>6.2293333333333329</c:v>
                </c:pt>
                <c:pt idx="83">
                  <c:v>5.6056666666666661</c:v>
                </c:pt>
                <c:pt idx="84">
                  <c:v>4.9819999999999993</c:v>
                </c:pt>
                <c:pt idx="85">
                  <c:v>4.3583333333333325</c:v>
                </c:pt>
                <c:pt idx="86">
                  <c:v>3.7346666666666657</c:v>
                </c:pt>
                <c:pt idx="87">
                  <c:v>3.1109999999999989</c:v>
                </c:pt>
                <c:pt idx="88">
                  <c:v>2.4873333333333321</c:v>
                </c:pt>
                <c:pt idx="89">
                  <c:v>1.8636666666666653</c:v>
                </c:pt>
                <c:pt idx="90">
                  <c:v>1.24</c:v>
                </c:pt>
              </c:numCache>
            </c:numRef>
          </c:yVal>
        </c:ser>
        <c:ser>
          <c:idx val="2"/>
          <c:order val="2"/>
          <c:tx>
            <c:strRef>
              <c:f>Estimator!$EH$38</c:f>
              <c:strCache>
                <c:ptCount val="1"/>
                <c:pt idx="0">
                  <c:v>U Summer</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Estimator!$EH$39:$EH$129</c:f>
              <c:numCache>
                <c:formatCode>0.00</c:formatCode>
                <c:ptCount val="91"/>
                <c:pt idx="0">
                  <c:v>40.869999999999997</c:v>
                </c:pt>
                <c:pt idx="1">
                  <c:v>40.73833333333333</c:v>
                </c:pt>
                <c:pt idx="2">
                  <c:v>40.606666666666662</c:v>
                </c:pt>
                <c:pt idx="3">
                  <c:v>40.474999999999994</c:v>
                </c:pt>
                <c:pt idx="4">
                  <c:v>40.343333333333327</c:v>
                </c:pt>
                <c:pt idx="5">
                  <c:v>40.211666666666659</c:v>
                </c:pt>
                <c:pt idx="6">
                  <c:v>40.079999999999991</c:v>
                </c:pt>
                <c:pt idx="7">
                  <c:v>39.948333333333323</c:v>
                </c:pt>
                <c:pt idx="8">
                  <c:v>39.816666666666656</c:v>
                </c:pt>
                <c:pt idx="9">
                  <c:v>39.684999999999988</c:v>
                </c:pt>
                <c:pt idx="10">
                  <c:v>39.553333333333335</c:v>
                </c:pt>
                <c:pt idx="11">
                  <c:v>39.171666666666667</c:v>
                </c:pt>
                <c:pt idx="12">
                  <c:v>38.79</c:v>
                </c:pt>
                <c:pt idx="13">
                  <c:v>38.408333333333331</c:v>
                </c:pt>
                <c:pt idx="14">
                  <c:v>38.026666666666664</c:v>
                </c:pt>
                <c:pt idx="15">
                  <c:v>37.644999999999996</c:v>
                </c:pt>
                <c:pt idx="16">
                  <c:v>37.263333333333328</c:v>
                </c:pt>
                <c:pt idx="17">
                  <c:v>36.881666666666661</c:v>
                </c:pt>
                <c:pt idx="18">
                  <c:v>36.499999999999993</c:v>
                </c:pt>
                <c:pt idx="19">
                  <c:v>36.118333333333325</c:v>
                </c:pt>
                <c:pt idx="20">
                  <c:v>35.736666666666672</c:v>
                </c:pt>
                <c:pt idx="21">
                  <c:v>35.186333333333337</c:v>
                </c:pt>
                <c:pt idx="22">
                  <c:v>34.636000000000003</c:v>
                </c:pt>
                <c:pt idx="23">
                  <c:v>34.085666666666668</c:v>
                </c:pt>
                <c:pt idx="24">
                  <c:v>33.535333333333334</c:v>
                </c:pt>
                <c:pt idx="25">
                  <c:v>32.984999999999999</c:v>
                </c:pt>
                <c:pt idx="26">
                  <c:v>32.434666666666665</c:v>
                </c:pt>
                <c:pt idx="27">
                  <c:v>31.884333333333331</c:v>
                </c:pt>
                <c:pt idx="28">
                  <c:v>31.333999999999996</c:v>
                </c:pt>
                <c:pt idx="29">
                  <c:v>30.783666666666662</c:v>
                </c:pt>
                <c:pt idx="30">
                  <c:v>30.233333333333331</c:v>
                </c:pt>
                <c:pt idx="31">
                  <c:v>29.66333333333333</c:v>
                </c:pt>
                <c:pt idx="32">
                  <c:v>29.09333333333333</c:v>
                </c:pt>
                <c:pt idx="33">
                  <c:v>28.52333333333333</c:v>
                </c:pt>
                <c:pt idx="34">
                  <c:v>27.95333333333333</c:v>
                </c:pt>
                <c:pt idx="35">
                  <c:v>27.383333333333329</c:v>
                </c:pt>
                <c:pt idx="36">
                  <c:v>26.813333333333329</c:v>
                </c:pt>
                <c:pt idx="37">
                  <c:v>26.243333333333329</c:v>
                </c:pt>
                <c:pt idx="38">
                  <c:v>25.673333333333328</c:v>
                </c:pt>
                <c:pt idx="39">
                  <c:v>25.103333333333328</c:v>
                </c:pt>
                <c:pt idx="40">
                  <c:v>24.533333333333331</c:v>
                </c:pt>
                <c:pt idx="41">
                  <c:v>24.037333333333333</c:v>
                </c:pt>
                <c:pt idx="42">
                  <c:v>23.541333333333334</c:v>
                </c:pt>
                <c:pt idx="43">
                  <c:v>23.045333333333335</c:v>
                </c:pt>
                <c:pt idx="44">
                  <c:v>22.549333333333337</c:v>
                </c:pt>
                <c:pt idx="45">
                  <c:v>22.053333333333338</c:v>
                </c:pt>
                <c:pt idx="46">
                  <c:v>21.557333333333339</c:v>
                </c:pt>
                <c:pt idx="47">
                  <c:v>21.061333333333341</c:v>
                </c:pt>
                <c:pt idx="48">
                  <c:v>20.565333333333342</c:v>
                </c:pt>
                <c:pt idx="49">
                  <c:v>20.069333333333343</c:v>
                </c:pt>
                <c:pt idx="50">
                  <c:v>19.573333333333334</c:v>
                </c:pt>
                <c:pt idx="51">
                  <c:v>19.154333333333334</c:v>
                </c:pt>
                <c:pt idx="52">
                  <c:v>18.735333333333333</c:v>
                </c:pt>
                <c:pt idx="53">
                  <c:v>18.316333333333333</c:v>
                </c:pt>
                <c:pt idx="54">
                  <c:v>17.897333333333332</c:v>
                </c:pt>
                <c:pt idx="55">
                  <c:v>17.478333333333332</c:v>
                </c:pt>
                <c:pt idx="56">
                  <c:v>17.059333333333331</c:v>
                </c:pt>
                <c:pt idx="57">
                  <c:v>16.640333333333331</c:v>
                </c:pt>
                <c:pt idx="58">
                  <c:v>16.22133333333333</c:v>
                </c:pt>
                <c:pt idx="59">
                  <c:v>15.80233333333333</c:v>
                </c:pt>
                <c:pt idx="60">
                  <c:v>15.383333333333333</c:v>
                </c:pt>
                <c:pt idx="61">
                  <c:v>15.011333333333333</c:v>
                </c:pt>
                <c:pt idx="62">
                  <c:v>14.639333333333333</c:v>
                </c:pt>
                <c:pt idx="63">
                  <c:v>14.267333333333333</c:v>
                </c:pt>
                <c:pt idx="64">
                  <c:v>13.895333333333333</c:v>
                </c:pt>
                <c:pt idx="65">
                  <c:v>13.523333333333333</c:v>
                </c:pt>
                <c:pt idx="66">
                  <c:v>13.151333333333334</c:v>
                </c:pt>
                <c:pt idx="67">
                  <c:v>12.779333333333334</c:v>
                </c:pt>
                <c:pt idx="68">
                  <c:v>12.407333333333334</c:v>
                </c:pt>
                <c:pt idx="69">
                  <c:v>12.035333333333334</c:v>
                </c:pt>
                <c:pt idx="70">
                  <c:v>11.663333333333334</c:v>
                </c:pt>
                <c:pt idx="71">
                  <c:v>11.237</c:v>
                </c:pt>
                <c:pt idx="72">
                  <c:v>10.810666666666666</c:v>
                </c:pt>
                <c:pt idx="73">
                  <c:v>10.384333333333332</c:v>
                </c:pt>
                <c:pt idx="74">
                  <c:v>9.9579999999999984</c:v>
                </c:pt>
                <c:pt idx="75">
                  <c:v>9.5316666666666645</c:v>
                </c:pt>
                <c:pt idx="76">
                  <c:v>9.1053333333333306</c:v>
                </c:pt>
                <c:pt idx="77">
                  <c:v>8.6789999999999967</c:v>
                </c:pt>
                <c:pt idx="78">
                  <c:v>8.2526666666666628</c:v>
                </c:pt>
                <c:pt idx="79">
                  <c:v>7.8263333333333289</c:v>
                </c:pt>
                <c:pt idx="80">
                  <c:v>7.3999999999999995</c:v>
                </c:pt>
                <c:pt idx="81">
                  <c:v>6.7829999999999995</c:v>
                </c:pt>
                <c:pt idx="82">
                  <c:v>6.1659999999999995</c:v>
                </c:pt>
                <c:pt idx="83">
                  <c:v>5.5489999999999995</c:v>
                </c:pt>
                <c:pt idx="84">
                  <c:v>4.9319999999999995</c:v>
                </c:pt>
                <c:pt idx="85">
                  <c:v>4.3149999999999995</c:v>
                </c:pt>
                <c:pt idx="86">
                  <c:v>3.6979999999999995</c:v>
                </c:pt>
                <c:pt idx="87">
                  <c:v>3.0809999999999995</c:v>
                </c:pt>
                <c:pt idx="88">
                  <c:v>2.4639999999999995</c:v>
                </c:pt>
                <c:pt idx="89">
                  <c:v>1.8469999999999995</c:v>
                </c:pt>
                <c:pt idx="90">
                  <c:v>1.2299999999999998</c:v>
                </c:pt>
              </c:numCache>
            </c:numRef>
          </c:yVal>
        </c:ser>
        <c:ser>
          <c:idx val="3"/>
          <c:order val="3"/>
          <c:tx>
            <c:strRef>
              <c:f>Estimator!$EI$38</c:f>
              <c:strCache>
                <c:ptCount val="1"/>
                <c:pt idx="0">
                  <c:v>U Fall</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Estimator!$EI$39:$EI$129</c:f>
              <c:numCache>
                <c:formatCode>0.00</c:formatCode>
                <c:ptCount val="91"/>
                <c:pt idx="0">
                  <c:v>42.71</c:v>
                </c:pt>
                <c:pt idx="1">
                  <c:v>42.573666666666668</c:v>
                </c:pt>
                <c:pt idx="2">
                  <c:v>42.437333333333335</c:v>
                </c:pt>
                <c:pt idx="3">
                  <c:v>42.301000000000002</c:v>
                </c:pt>
                <c:pt idx="4">
                  <c:v>42.164666666666669</c:v>
                </c:pt>
                <c:pt idx="5">
                  <c:v>42.028333333333336</c:v>
                </c:pt>
                <c:pt idx="6">
                  <c:v>41.892000000000003</c:v>
                </c:pt>
                <c:pt idx="7">
                  <c:v>41.75566666666667</c:v>
                </c:pt>
                <c:pt idx="8">
                  <c:v>41.619333333333337</c:v>
                </c:pt>
                <c:pt idx="9">
                  <c:v>41.483000000000004</c:v>
                </c:pt>
                <c:pt idx="10">
                  <c:v>41.346666666666671</c:v>
                </c:pt>
                <c:pt idx="11">
                  <c:v>40.947000000000003</c:v>
                </c:pt>
                <c:pt idx="12">
                  <c:v>40.547333333333334</c:v>
                </c:pt>
                <c:pt idx="13">
                  <c:v>40.147666666666666</c:v>
                </c:pt>
                <c:pt idx="14">
                  <c:v>39.747999999999998</c:v>
                </c:pt>
                <c:pt idx="15">
                  <c:v>39.348333333333329</c:v>
                </c:pt>
                <c:pt idx="16">
                  <c:v>38.948666666666661</c:v>
                </c:pt>
                <c:pt idx="17">
                  <c:v>38.548999999999992</c:v>
                </c:pt>
                <c:pt idx="18">
                  <c:v>38.149333333333324</c:v>
                </c:pt>
                <c:pt idx="19">
                  <c:v>37.749666666666656</c:v>
                </c:pt>
                <c:pt idx="20">
                  <c:v>37.35</c:v>
                </c:pt>
                <c:pt idx="21">
                  <c:v>36.775333333333336</c:v>
                </c:pt>
                <c:pt idx="22">
                  <c:v>36.20066666666667</c:v>
                </c:pt>
                <c:pt idx="23">
                  <c:v>35.626000000000005</c:v>
                </c:pt>
                <c:pt idx="24">
                  <c:v>35.051333333333339</c:v>
                </c:pt>
                <c:pt idx="25">
                  <c:v>34.476666666666674</c:v>
                </c:pt>
                <c:pt idx="26">
                  <c:v>33.902000000000008</c:v>
                </c:pt>
                <c:pt idx="27">
                  <c:v>33.327333333333343</c:v>
                </c:pt>
                <c:pt idx="28">
                  <c:v>32.752666666666677</c:v>
                </c:pt>
                <c:pt idx="29">
                  <c:v>32.178000000000011</c:v>
                </c:pt>
                <c:pt idx="30">
                  <c:v>31.603333333333335</c:v>
                </c:pt>
                <c:pt idx="31">
                  <c:v>31.007000000000001</c:v>
                </c:pt>
                <c:pt idx="32">
                  <c:v>30.410666666666668</c:v>
                </c:pt>
                <c:pt idx="33">
                  <c:v>29.814333333333334</c:v>
                </c:pt>
                <c:pt idx="34">
                  <c:v>29.218</c:v>
                </c:pt>
                <c:pt idx="35">
                  <c:v>28.621666666666666</c:v>
                </c:pt>
                <c:pt idx="36">
                  <c:v>28.025333333333332</c:v>
                </c:pt>
                <c:pt idx="37">
                  <c:v>27.428999999999998</c:v>
                </c:pt>
                <c:pt idx="38">
                  <c:v>26.832666666666665</c:v>
                </c:pt>
                <c:pt idx="39">
                  <c:v>26.236333333333331</c:v>
                </c:pt>
                <c:pt idx="40">
                  <c:v>25.639999999999997</c:v>
                </c:pt>
                <c:pt idx="41">
                  <c:v>25.121666666666663</c:v>
                </c:pt>
                <c:pt idx="42">
                  <c:v>24.603333333333328</c:v>
                </c:pt>
                <c:pt idx="43">
                  <c:v>24.084999999999994</c:v>
                </c:pt>
                <c:pt idx="44">
                  <c:v>23.566666666666659</c:v>
                </c:pt>
                <c:pt idx="45">
                  <c:v>23.048333333333325</c:v>
                </c:pt>
                <c:pt idx="46">
                  <c:v>22.52999999999999</c:v>
                </c:pt>
                <c:pt idx="47">
                  <c:v>22.011666666666656</c:v>
                </c:pt>
                <c:pt idx="48">
                  <c:v>21.493333333333322</c:v>
                </c:pt>
                <c:pt idx="49">
                  <c:v>20.974999999999987</c:v>
                </c:pt>
                <c:pt idx="50">
                  <c:v>20.456666666666667</c:v>
                </c:pt>
                <c:pt idx="51">
                  <c:v>20.018666666666668</c:v>
                </c:pt>
                <c:pt idx="52">
                  <c:v>19.580666666666669</c:v>
                </c:pt>
                <c:pt idx="53">
                  <c:v>19.14266666666667</c:v>
                </c:pt>
                <c:pt idx="54">
                  <c:v>18.704666666666672</c:v>
                </c:pt>
                <c:pt idx="55">
                  <c:v>18.266666666666673</c:v>
                </c:pt>
                <c:pt idx="56">
                  <c:v>17.828666666666674</c:v>
                </c:pt>
                <c:pt idx="57">
                  <c:v>17.390666666666675</c:v>
                </c:pt>
                <c:pt idx="58">
                  <c:v>16.952666666666676</c:v>
                </c:pt>
                <c:pt idx="59">
                  <c:v>16.514666666666677</c:v>
                </c:pt>
                <c:pt idx="60">
                  <c:v>16.076666666666668</c:v>
                </c:pt>
                <c:pt idx="61">
                  <c:v>15.688333333333334</c:v>
                </c:pt>
                <c:pt idx="62">
                  <c:v>15.3</c:v>
                </c:pt>
                <c:pt idx="63">
                  <c:v>14.911666666666667</c:v>
                </c:pt>
                <c:pt idx="64">
                  <c:v>14.523333333333333</c:v>
                </c:pt>
                <c:pt idx="65">
                  <c:v>14.135</c:v>
                </c:pt>
                <c:pt idx="66">
                  <c:v>13.746666666666666</c:v>
                </c:pt>
                <c:pt idx="67">
                  <c:v>13.358333333333333</c:v>
                </c:pt>
                <c:pt idx="68">
                  <c:v>12.969999999999999</c:v>
                </c:pt>
                <c:pt idx="69">
                  <c:v>12.581666666666665</c:v>
                </c:pt>
                <c:pt idx="70">
                  <c:v>12.193333333333333</c:v>
                </c:pt>
                <c:pt idx="71">
                  <c:v>11.747</c:v>
                </c:pt>
                <c:pt idx="72">
                  <c:v>11.300666666666666</c:v>
                </c:pt>
                <c:pt idx="73">
                  <c:v>10.854333333333333</c:v>
                </c:pt>
                <c:pt idx="74">
                  <c:v>10.407999999999999</c:v>
                </c:pt>
                <c:pt idx="75">
                  <c:v>9.961666666666666</c:v>
                </c:pt>
                <c:pt idx="76">
                  <c:v>9.5153333333333325</c:v>
                </c:pt>
                <c:pt idx="77">
                  <c:v>9.0689999999999991</c:v>
                </c:pt>
                <c:pt idx="78">
                  <c:v>8.6226666666666656</c:v>
                </c:pt>
                <c:pt idx="79">
                  <c:v>8.1763333333333321</c:v>
                </c:pt>
                <c:pt idx="80">
                  <c:v>7.73</c:v>
                </c:pt>
                <c:pt idx="81">
                  <c:v>7.0853333333333337</c:v>
                </c:pt>
                <c:pt idx="82">
                  <c:v>6.440666666666667</c:v>
                </c:pt>
                <c:pt idx="83">
                  <c:v>5.7960000000000003</c:v>
                </c:pt>
                <c:pt idx="84">
                  <c:v>5.1513333333333335</c:v>
                </c:pt>
                <c:pt idx="85">
                  <c:v>4.5066666666666668</c:v>
                </c:pt>
                <c:pt idx="86">
                  <c:v>3.8620000000000001</c:v>
                </c:pt>
                <c:pt idx="87">
                  <c:v>3.2173333333333334</c:v>
                </c:pt>
                <c:pt idx="88">
                  <c:v>2.5726666666666667</c:v>
                </c:pt>
                <c:pt idx="89">
                  <c:v>1.9279999999999999</c:v>
                </c:pt>
                <c:pt idx="90">
                  <c:v>1.2833333333333334</c:v>
                </c:pt>
              </c:numCache>
            </c:numRef>
          </c:yVal>
        </c:ser>
        <c:ser>
          <c:idx val="4"/>
          <c:order val="4"/>
          <c:tx>
            <c:strRef>
              <c:f>Estimator!$EJ$38</c:f>
              <c:strCache>
                <c:ptCount val="1"/>
                <c:pt idx="0">
                  <c:v>Winter</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Estimator!$EJ$39:$EJ$129</c:f>
              <c:numCache>
                <c:formatCode>0.00</c:formatCode>
                <c:ptCount val="91"/>
                <c:pt idx="0">
                  <c:v>77.459999999999994</c:v>
                </c:pt>
                <c:pt idx="1">
                  <c:v>77.186999999999998</c:v>
                </c:pt>
                <c:pt idx="2">
                  <c:v>76.914000000000001</c:v>
                </c:pt>
                <c:pt idx="3">
                  <c:v>76.641000000000005</c:v>
                </c:pt>
                <c:pt idx="4">
                  <c:v>76.368000000000009</c:v>
                </c:pt>
                <c:pt idx="5">
                  <c:v>76.095000000000013</c:v>
                </c:pt>
                <c:pt idx="6">
                  <c:v>75.822000000000017</c:v>
                </c:pt>
                <c:pt idx="7">
                  <c:v>75.549000000000021</c:v>
                </c:pt>
                <c:pt idx="8">
                  <c:v>75.276000000000025</c:v>
                </c:pt>
                <c:pt idx="9">
                  <c:v>75.003000000000029</c:v>
                </c:pt>
                <c:pt idx="10">
                  <c:v>74.73</c:v>
                </c:pt>
                <c:pt idx="11">
                  <c:v>73.941666666666677</c:v>
                </c:pt>
                <c:pt idx="12">
                  <c:v>73.15333333333335</c:v>
                </c:pt>
                <c:pt idx="13">
                  <c:v>72.365000000000023</c:v>
                </c:pt>
                <c:pt idx="14">
                  <c:v>71.576666666666696</c:v>
                </c:pt>
                <c:pt idx="15">
                  <c:v>70.78833333333337</c:v>
                </c:pt>
                <c:pt idx="16">
                  <c:v>70.000000000000043</c:v>
                </c:pt>
                <c:pt idx="17">
                  <c:v>69.211666666666716</c:v>
                </c:pt>
                <c:pt idx="18">
                  <c:v>68.423333333333389</c:v>
                </c:pt>
                <c:pt idx="19">
                  <c:v>67.635000000000062</c:v>
                </c:pt>
                <c:pt idx="20">
                  <c:v>66.846666666666678</c:v>
                </c:pt>
                <c:pt idx="21">
                  <c:v>65.720000000000013</c:v>
                </c:pt>
                <c:pt idx="22">
                  <c:v>64.593333333333348</c:v>
                </c:pt>
                <c:pt idx="23">
                  <c:v>63.466666666666683</c:v>
                </c:pt>
                <c:pt idx="24">
                  <c:v>62.340000000000018</c:v>
                </c:pt>
                <c:pt idx="25">
                  <c:v>61.213333333333352</c:v>
                </c:pt>
                <c:pt idx="26">
                  <c:v>60.086666666666687</c:v>
                </c:pt>
                <c:pt idx="27">
                  <c:v>58.960000000000022</c:v>
                </c:pt>
                <c:pt idx="28">
                  <c:v>57.833333333333357</c:v>
                </c:pt>
                <c:pt idx="29">
                  <c:v>56.706666666666692</c:v>
                </c:pt>
                <c:pt idx="30">
                  <c:v>55.580000000000005</c:v>
                </c:pt>
                <c:pt idx="31">
                  <c:v>54.418000000000006</c:v>
                </c:pt>
                <c:pt idx="32">
                  <c:v>53.256000000000007</c:v>
                </c:pt>
                <c:pt idx="33">
                  <c:v>52.094000000000008</c:v>
                </c:pt>
                <c:pt idx="34">
                  <c:v>50.932000000000009</c:v>
                </c:pt>
                <c:pt idx="35">
                  <c:v>49.77000000000001</c:v>
                </c:pt>
                <c:pt idx="36">
                  <c:v>48.608000000000011</c:v>
                </c:pt>
                <c:pt idx="37">
                  <c:v>47.446000000000012</c:v>
                </c:pt>
                <c:pt idx="38">
                  <c:v>46.284000000000013</c:v>
                </c:pt>
                <c:pt idx="39">
                  <c:v>45.122000000000014</c:v>
                </c:pt>
                <c:pt idx="40">
                  <c:v>43.96</c:v>
                </c:pt>
                <c:pt idx="41">
                  <c:v>42.956000000000003</c:v>
                </c:pt>
                <c:pt idx="42">
                  <c:v>41.952000000000005</c:v>
                </c:pt>
                <c:pt idx="43">
                  <c:v>40.948000000000008</c:v>
                </c:pt>
                <c:pt idx="44">
                  <c:v>39.94400000000001</c:v>
                </c:pt>
                <c:pt idx="45">
                  <c:v>38.940000000000012</c:v>
                </c:pt>
                <c:pt idx="46">
                  <c:v>37.936000000000014</c:v>
                </c:pt>
                <c:pt idx="47">
                  <c:v>36.932000000000016</c:v>
                </c:pt>
                <c:pt idx="48">
                  <c:v>35.928000000000019</c:v>
                </c:pt>
                <c:pt idx="49">
                  <c:v>34.924000000000021</c:v>
                </c:pt>
                <c:pt idx="50">
                  <c:v>33.919999999999995</c:v>
                </c:pt>
                <c:pt idx="51">
                  <c:v>33.08</c:v>
                </c:pt>
                <c:pt idx="52">
                  <c:v>32.24</c:v>
                </c:pt>
                <c:pt idx="53">
                  <c:v>31.400000000000002</c:v>
                </c:pt>
                <c:pt idx="54">
                  <c:v>30.560000000000002</c:v>
                </c:pt>
                <c:pt idx="55">
                  <c:v>29.720000000000002</c:v>
                </c:pt>
                <c:pt idx="56">
                  <c:v>28.880000000000003</c:v>
                </c:pt>
                <c:pt idx="57">
                  <c:v>28.040000000000003</c:v>
                </c:pt>
                <c:pt idx="58">
                  <c:v>27.200000000000003</c:v>
                </c:pt>
                <c:pt idx="59">
                  <c:v>26.360000000000003</c:v>
                </c:pt>
                <c:pt idx="60">
                  <c:v>25.52</c:v>
                </c:pt>
                <c:pt idx="61">
                  <c:v>24.791333333333334</c:v>
                </c:pt>
                <c:pt idx="62">
                  <c:v>24.062666666666669</c:v>
                </c:pt>
                <c:pt idx="63">
                  <c:v>23.334000000000003</c:v>
                </c:pt>
                <c:pt idx="64">
                  <c:v>22.605333333333338</c:v>
                </c:pt>
                <c:pt idx="65">
                  <c:v>21.876666666666672</c:v>
                </c:pt>
                <c:pt idx="66">
                  <c:v>21.148000000000007</c:v>
                </c:pt>
                <c:pt idx="67">
                  <c:v>20.419333333333341</c:v>
                </c:pt>
                <c:pt idx="68">
                  <c:v>19.690666666666676</c:v>
                </c:pt>
                <c:pt idx="69">
                  <c:v>18.96200000000001</c:v>
                </c:pt>
                <c:pt idx="70">
                  <c:v>18.233333333333334</c:v>
                </c:pt>
                <c:pt idx="71">
                  <c:v>17.451333333333334</c:v>
                </c:pt>
                <c:pt idx="72">
                  <c:v>16.669333333333334</c:v>
                </c:pt>
                <c:pt idx="73">
                  <c:v>15.887333333333334</c:v>
                </c:pt>
                <c:pt idx="74">
                  <c:v>15.105333333333334</c:v>
                </c:pt>
                <c:pt idx="75">
                  <c:v>14.323333333333334</c:v>
                </c:pt>
                <c:pt idx="76">
                  <c:v>13.541333333333334</c:v>
                </c:pt>
                <c:pt idx="77">
                  <c:v>12.759333333333334</c:v>
                </c:pt>
                <c:pt idx="78">
                  <c:v>11.977333333333334</c:v>
                </c:pt>
                <c:pt idx="79">
                  <c:v>11.195333333333334</c:v>
                </c:pt>
                <c:pt idx="80">
                  <c:v>10.413333333333334</c:v>
                </c:pt>
                <c:pt idx="81">
                  <c:v>9.4926666666666666</c:v>
                </c:pt>
                <c:pt idx="82">
                  <c:v>8.5719999999999992</c:v>
                </c:pt>
                <c:pt idx="83">
                  <c:v>7.6513333333333327</c:v>
                </c:pt>
                <c:pt idx="84">
                  <c:v>6.7306666666666661</c:v>
                </c:pt>
                <c:pt idx="85">
                  <c:v>5.81</c:v>
                </c:pt>
                <c:pt idx="86">
                  <c:v>4.8893333333333331</c:v>
                </c:pt>
                <c:pt idx="87">
                  <c:v>3.9686666666666666</c:v>
                </c:pt>
                <c:pt idx="88">
                  <c:v>3.048</c:v>
                </c:pt>
                <c:pt idx="89">
                  <c:v>2.1273333333333335</c:v>
                </c:pt>
                <c:pt idx="90">
                  <c:v>1.2066666666666668</c:v>
                </c:pt>
              </c:numCache>
            </c:numRef>
          </c:yVal>
        </c:ser>
        <c:ser>
          <c:idx val="5"/>
          <c:order val="5"/>
          <c:tx>
            <c:strRef>
              <c:f>Estimator!$EK$38</c:f>
              <c:strCache>
                <c:ptCount val="1"/>
                <c:pt idx="0">
                  <c:v>Spring</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Estimator!$EK$39:$EK$129</c:f>
              <c:numCache>
                <c:formatCode>0.00</c:formatCode>
                <c:ptCount val="91"/>
                <c:pt idx="0">
                  <c:v>77.010000000000005</c:v>
                </c:pt>
                <c:pt idx="1">
                  <c:v>76.738333333333344</c:v>
                </c:pt>
                <c:pt idx="2">
                  <c:v>76.466666666666683</c:v>
                </c:pt>
                <c:pt idx="3">
                  <c:v>76.195000000000022</c:v>
                </c:pt>
                <c:pt idx="4">
                  <c:v>75.92333333333336</c:v>
                </c:pt>
                <c:pt idx="5">
                  <c:v>75.651666666666699</c:v>
                </c:pt>
                <c:pt idx="6">
                  <c:v>75.380000000000038</c:v>
                </c:pt>
                <c:pt idx="7">
                  <c:v>75.108333333333377</c:v>
                </c:pt>
                <c:pt idx="8">
                  <c:v>74.836666666666716</c:v>
                </c:pt>
                <c:pt idx="9">
                  <c:v>74.565000000000055</c:v>
                </c:pt>
                <c:pt idx="10">
                  <c:v>74.293333333333337</c:v>
                </c:pt>
                <c:pt idx="11">
                  <c:v>73.510999999999996</c:v>
                </c:pt>
                <c:pt idx="12">
                  <c:v>72.728666666666669</c:v>
                </c:pt>
                <c:pt idx="13">
                  <c:v>71.946333333333342</c:v>
                </c:pt>
                <c:pt idx="14">
                  <c:v>71.164000000000016</c:v>
                </c:pt>
                <c:pt idx="15">
                  <c:v>70.381666666666689</c:v>
                </c:pt>
                <c:pt idx="16">
                  <c:v>69.599333333333362</c:v>
                </c:pt>
                <c:pt idx="17">
                  <c:v>68.817000000000036</c:v>
                </c:pt>
                <c:pt idx="18">
                  <c:v>68.034666666666709</c:v>
                </c:pt>
                <c:pt idx="19">
                  <c:v>67.252333333333382</c:v>
                </c:pt>
                <c:pt idx="20">
                  <c:v>66.47</c:v>
                </c:pt>
                <c:pt idx="21">
                  <c:v>65.330333333333328</c:v>
                </c:pt>
                <c:pt idx="22">
                  <c:v>64.190666666666658</c:v>
                </c:pt>
                <c:pt idx="23">
                  <c:v>63.050999999999988</c:v>
                </c:pt>
                <c:pt idx="24">
                  <c:v>61.911333333333317</c:v>
                </c:pt>
                <c:pt idx="25">
                  <c:v>60.771666666666647</c:v>
                </c:pt>
                <c:pt idx="26">
                  <c:v>59.631999999999977</c:v>
                </c:pt>
                <c:pt idx="27">
                  <c:v>58.492333333333306</c:v>
                </c:pt>
                <c:pt idx="28">
                  <c:v>57.352666666666636</c:v>
                </c:pt>
                <c:pt idx="29">
                  <c:v>56.212999999999965</c:v>
                </c:pt>
                <c:pt idx="30">
                  <c:v>55.073333333333331</c:v>
                </c:pt>
                <c:pt idx="31">
                  <c:v>53.93966666666666</c:v>
                </c:pt>
                <c:pt idx="32">
                  <c:v>52.80599999999999</c:v>
                </c:pt>
                <c:pt idx="33">
                  <c:v>51.67233333333332</c:v>
                </c:pt>
                <c:pt idx="34">
                  <c:v>50.53866666666665</c:v>
                </c:pt>
                <c:pt idx="35">
                  <c:v>49.40499999999998</c:v>
                </c:pt>
                <c:pt idx="36">
                  <c:v>48.27133333333331</c:v>
                </c:pt>
                <c:pt idx="37">
                  <c:v>47.13766666666664</c:v>
                </c:pt>
                <c:pt idx="38">
                  <c:v>46.003999999999969</c:v>
                </c:pt>
                <c:pt idx="39">
                  <c:v>44.870333333333299</c:v>
                </c:pt>
                <c:pt idx="40">
                  <c:v>43.736666666666657</c:v>
                </c:pt>
                <c:pt idx="41">
                  <c:v>42.733999999999995</c:v>
                </c:pt>
                <c:pt idx="42">
                  <c:v>41.731333333333332</c:v>
                </c:pt>
                <c:pt idx="43">
                  <c:v>40.728666666666669</c:v>
                </c:pt>
                <c:pt idx="44">
                  <c:v>39.726000000000006</c:v>
                </c:pt>
                <c:pt idx="45">
                  <c:v>38.723333333333343</c:v>
                </c:pt>
                <c:pt idx="46">
                  <c:v>37.720666666666681</c:v>
                </c:pt>
                <c:pt idx="47">
                  <c:v>36.718000000000018</c:v>
                </c:pt>
                <c:pt idx="48">
                  <c:v>35.715333333333355</c:v>
                </c:pt>
                <c:pt idx="49">
                  <c:v>34.712666666666692</c:v>
                </c:pt>
                <c:pt idx="50">
                  <c:v>33.71</c:v>
                </c:pt>
                <c:pt idx="51">
                  <c:v>32.866666666666667</c:v>
                </c:pt>
                <c:pt idx="52">
                  <c:v>32.023333333333333</c:v>
                </c:pt>
                <c:pt idx="53">
                  <c:v>31.18</c:v>
                </c:pt>
                <c:pt idx="54">
                  <c:v>30.336666666666666</c:v>
                </c:pt>
                <c:pt idx="55">
                  <c:v>29.493333333333332</c:v>
                </c:pt>
                <c:pt idx="56">
                  <c:v>28.65</c:v>
                </c:pt>
                <c:pt idx="57">
                  <c:v>27.806666666666665</c:v>
                </c:pt>
                <c:pt idx="58">
                  <c:v>26.963333333333331</c:v>
                </c:pt>
                <c:pt idx="59">
                  <c:v>26.119999999999997</c:v>
                </c:pt>
                <c:pt idx="60">
                  <c:v>25.276666666666671</c:v>
                </c:pt>
                <c:pt idx="61">
                  <c:v>24.539666666666669</c:v>
                </c:pt>
                <c:pt idx="62">
                  <c:v>23.802666666666667</c:v>
                </c:pt>
                <c:pt idx="63">
                  <c:v>23.065666666666665</c:v>
                </c:pt>
                <c:pt idx="64">
                  <c:v>22.328666666666663</c:v>
                </c:pt>
                <c:pt idx="65">
                  <c:v>21.591666666666661</c:v>
                </c:pt>
                <c:pt idx="66">
                  <c:v>20.85466666666666</c:v>
                </c:pt>
                <c:pt idx="67">
                  <c:v>20.117666666666658</c:v>
                </c:pt>
                <c:pt idx="68">
                  <c:v>19.380666666666656</c:v>
                </c:pt>
                <c:pt idx="69">
                  <c:v>18.643666666666654</c:v>
                </c:pt>
                <c:pt idx="70">
                  <c:v>17.906666666666666</c:v>
                </c:pt>
                <c:pt idx="71">
                  <c:v>17.118333333333332</c:v>
                </c:pt>
                <c:pt idx="72">
                  <c:v>16.329999999999998</c:v>
                </c:pt>
                <c:pt idx="73">
                  <c:v>15.541666666666664</c:v>
                </c:pt>
                <c:pt idx="74">
                  <c:v>14.75333333333333</c:v>
                </c:pt>
                <c:pt idx="75">
                  <c:v>13.964999999999996</c:v>
                </c:pt>
                <c:pt idx="76">
                  <c:v>13.176666666666662</c:v>
                </c:pt>
                <c:pt idx="77">
                  <c:v>12.388333333333328</c:v>
                </c:pt>
                <c:pt idx="78">
                  <c:v>11.599999999999994</c:v>
                </c:pt>
                <c:pt idx="79">
                  <c:v>10.81166666666666</c:v>
                </c:pt>
                <c:pt idx="80">
                  <c:v>10.023333333333335</c:v>
                </c:pt>
                <c:pt idx="81">
                  <c:v>9.1350000000000016</c:v>
                </c:pt>
                <c:pt idx="82">
                  <c:v>8.2466666666666679</c:v>
                </c:pt>
                <c:pt idx="83">
                  <c:v>7.3583333333333343</c:v>
                </c:pt>
                <c:pt idx="84">
                  <c:v>6.4700000000000006</c:v>
                </c:pt>
                <c:pt idx="85">
                  <c:v>5.581666666666667</c:v>
                </c:pt>
                <c:pt idx="86">
                  <c:v>4.6933333333333334</c:v>
                </c:pt>
                <c:pt idx="87">
                  <c:v>3.8049999999999997</c:v>
                </c:pt>
                <c:pt idx="88">
                  <c:v>2.9166666666666661</c:v>
                </c:pt>
                <c:pt idx="89">
                  <c:v>2.0283333333333324</c:v>
                </c:pt>
                <c:pt idx="90">
                  <c:v>1.1400000000000001</c:v>
                </c:pt>
              </c:numCache>
            </c:numRef>
          </c:yVal>
        </c:ser>
        <c:ser>
          <c:idx val="6"/>
          <c:order val="6"/>
          <c:tx>
            <c:strRef>
              <c:f>Estimator!$EL$38</c:f>
              <c:strCache>
                <c:ptCount val="1"/>
                <c:pt idx="0">
                  <c:v>Summer</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Estimator!$EL$39:$EL$129</c:f>
              <c:numCache>
                <c:formatCode>0.00</c:formatCode>
                <c:ptCount val="91"/>
                <c:pt idx="0">
                  <c:v>76.19</c:v>
                </c:pt>
                <c:pt idx="1">
                  <c:v>75.921333333333337</c:v>
                </c:pt>
                <c:pt idx="2">
                  <c:v>75.652666666666676</c:v>
                </c:pt>
                <c:pt idx="3">
                  <c:v>75.384000000000015</c:v>
                </c:pt>
                <c:pt idx="4">
                  <c:v>75.115333333333353</c:v>
                </c:pt>
                <c:pt idx="5">
                  <c:v>74.846666666666692</c:v>
                </c:pt>
                <c:pt idx="6">
                  <c:v>74.578000000000031</c:v>
                </c:pt>
                <c:pt idx="7">
                  <c:v>74.30933333333337</c:v>
                </c:pt>
                <c:pt idx="8">
                  <c:v>74.040666666666709</c:v>
                </c:pt>
                <c:pt idx="9">
                  <c:v>73.772000000000048</c:v>
                </c:pt>
                <c:pt idx="10">
                  <c:v>73.50333333333333</c:v>
                </c:pt>
                <c:pt idx="11">
                  <c:v>72.728999999999999</c:v>
                </c:pt>
                <c:pt idx="12">
                  <c:v>71.954666666666668</c:v>
                </c:pt>
                <c:pt idx="13">
                  <c:v>71.180333333333337</c:v>
                </c:pt>
                <c:pt idx="14">
                  <c:v>70.406000000000006</c:v>
                </c:pt>
                <c:pt idx="15">
                  <c:v>69.631666666666675</c:v>
                </c:pt>
                <c:pt idx="16">
                  <c:v>68.857333333333344</c:v>
                </c:pt>
                <c:pt idx="17">
                  <c:v>68.083000000000013</c:v>
                </c:pt>
                <c:pt idx="18">
                  <c:v>67.308666666666682</c:v>
                </c:pt>
                <c:pt idx="19">
                  <c:v>66.53433333333335</c:v>
                </c:pt>
                <c:pt idx="20">
                  <c:v>65.760000000000005</c:v>
                </c:pt>
                <c:pt idx="21">
                  <c:v>64.653666666666666</c:v>
                </c:pt>
                <c:pt idx="22">
                  <c:v>63.547333333333334</c:v>
                </c:pt>
                <c:pt idx="23">
                  <c:v>62.441000000000003</c:v>
                </c:pt>
                <c:pt idx="24">
                  <c:v>61.334666666666671</c:v>
                </c:pt>
                <c:pt idx="25">
                  <c:v>60.228333333333339</c:v>
                </c:pt>
                <c:pt idx="26">
                  <c:v>59.122000000000007</c:v>
                </c:pt>
                <c:pt idx="27">
                  <c:v>58.015666666666675</c:v>
                </c:pt>
                <c:pt idx="28">
                  <c:v>56.909333333333343</c:v>
                </c:pt>
                <c:pt idx="29">
                  <c:v>55.803000000000011</c:v>
                </c:pt>
                <c:pt idx="30">
                  <c:v>54.696666666666665</c:v>
                </c:pt>
                <c:pt idx="31">
                  <c:v>53.553666666666665</c:v>
                </c:pt>
                <c:pt idx="32">
                  <c:v>52.410666666666664</c:v>
                </c:pt>
                <c:pt idx="33">
                  <c:v>51.267666666666663</c:v>
                </c:pt>
                <c:pt idx="34">
                  <c:v>50.124666666666663</c:v>
                </c:pt>
                <c:pt idx="35">
                  <c:v>48.981666666666662</c:v>
                </c:pt>
                <c:pt idx="36">
                  <c:v>47.838666666666661</c:v>
                </c:pt>
                <c:pt idx="37">
                  <c:v>46.695666666666661</c:v>
                </c:pt>
                <c:pt idx="38">
                  <c:v>45.55266666666666</c:v>
                </c:pt>
                <c:pt idx="39">
                  <c:v>44.409666666666659</c:v>
                </c:pt>
                <c:pt idx="40">
                  <c:v>43.266666666666673</c:v>
                </c:pt>
                <c:pt idx="41">
                  <c:v>42.275333333333336</c:v>
                </c:pt>
                <c:pt idx="42">
                  <c:v>41.283999999999999</c:v>
                </c:pt>
                <c:pt idx="43">
                  <c:v>40.292666666666662</c:v>
                </c:pt>
                <c:pt idx="44">
                  <c:v>39.301333333333325</c:v>
                </c:pt>
                <c:pt idx="45">
                  <c:v>38.309999999999988</c:v>
                </c:pt>
                <c:pt idx="46">
                  <c:v>37.318666666666651</c:v>
                </c:pt>
                <c:pt idx="47">
                  <c:v>36.327333333333314</c:v>
                </c:pt>
                <c:pt idx="48">
                  <c:v>35.335999999999977</c:v>
                </c:pt>
                <c:pt idx="49">
                  <c:v>34.34466666666664</c:v>
                </c:pt>
                <c:pt idx="50">
                  <c:v>33.353333333333332</c:v>
                </c:pt>
                <c:pt idx="51">
                  <c:v>32.518999999999998</c:v>
                </c:pt>
                <c:pt idx="52">
                  <c:v>31.684666666666665</c:v>
                </c:pt>
                <c:pt idx="53">
                  <c:v>30.850333333333332</c:v>
                </c:pt>
                <c:pt idx="54">
                  <c:v>30.015999999999998</c:v>
                </c:pt>
                <c:pt idx="55">
                  <c:v>29.181666666666665</c:v>
                </c:pt>
                <c:pt idx="56">
                  <c:v>28.347333333333331</c:v>
                </c:pt>
                <c:pt idx="57">
                  <c:v>27.512999999999998</c:v>
                </c:pt>
                <c:pt idx="58">
                  <c:v>26.678666666666665</c:v>
                </c:pt>
                <c:pt idx="59">
                  <c:v>25.844333333333331</c:v>
                </c:pt>
                <c:pt idx="60">
                  <c:v>25.01</c:v>
                </c:pt>
                <c:pt idx="61">
                  <c:v>24.280333333333335</c:v>
                </c:pt>
                <c:pt idx="62">
                  <c:v>23.550666666666668</c:v>
                </c:pt>
                <c:pt idx="63">
                  <c:v>22.821000000000002</c:v>
                </c:pt>
                <c:pt idx="64">
                  <c:v>22.091333333333335</c:v>
                </c:pt>
                <c:pt idx="65">
                  <c:v>21.361666666666668</c:v>
                </c:pt>
                <c:pt idx="66">
                  <c:v>20.632000000000001</c:v>
                </c:pt>
                <c:pt idx="67">
                  <c:v>19.902333333333335</c:v>
                </c:pt>
                <c:pt idx="68">
                  <c:v>19.172666666666668</c:v>
                </c:pt>
                <c:pt idx="69">
                  <c:v>18.443000000000001</c:v>
                </c:pt>
                <c:pt idx="70">
                  <c:v>17.713333333333331</c:v>
                </c:pt>
                <c:pt idx="71">
                  <c:v>16.93333333333333</c:v>
                </c:pt>
                <c:pt idx="72">
                  <c:v>16.153333333333329</c:v>
                </c:pt>
                <c:pt idx="73">
                  <c:v>15.37333333333333</c:v>
                </c:pt>
                <c:pt idx="74">
                  <c:v>14.59333333333333</c:v>
                </c:pt>
                <c:pt idx="75">
                  <c:v>13.813333333333331</c:v>
                </c:pt>
                <c:pt idx="76">
                  <c:v>13.033333333333331</c:v>
                </c:pt>
                <c:pt idx="77">
                  <c:v>12.253333333333332</c:v>
                </c:pt>
                <c:pt idx="78">
                  <c:v>11.473333333333333</c:v>
                </c:pt>
                <c:pt idx="79">
                  <c:v>10.693333333333333</c:v>
                </c:pt>
                <c:pt idx="80">
                  <c:v>9.9133333333333322</c:v>
                </c:pt>
                <c:pt idx="81">
                  <c:v>9.0346666666666664</c:v>
                </c:pt>
                <c:pt idx="82">
                  <c:v>8.1560000000000006</c:v>
                </c:pt>
                <c:pt idx="83">
                  <c:v>7.2773333333333339</c:v>
                </c:pt>
                <c:pt idx="84">
                  <c:v>6.3986666666666672</c:v>
                </c:pt>
                <c:pt idx="85">
                  <c:v>5.5200000000000005</c:v>
                </c:pt>
                <c:pt idx="86">
                  <c:v>4.6413333333333338</c:v>
                </c:pt>
                <c:pt idx="87">
                  <c:v>3.762666666666667</c:v>
                </c:pt>
                <c:pt idx="88">
                  <c:v>2.8840000000000003</c:v>
                </c:pt>
                <c:pt idx="89">
                  <c:v>2.0053333333333336</c:v>
                </c:pt>
                <c:pt idx="90">
                  <c:v>1.1266666666666667</c:v>
                </c:pt>
              </c:numCache>
            </c:numRef>
          </c:yVal>
        </c:ser>
        <c:ser>
          <c:idx val="7"/>
          <c:order val="7"/>
          <c:tx>
            <c:strRef>
              <c:f>Estimator!$EM$38</c:f>
              <c:strCache>
                <c:ptCount val="1"/>
                <c:pt idx="0">
                  <c:v>Fall</c:v>
                </c:pt>
              </c:strCache>
            </c:strRef>
          </c:tx>
          <c:marker>
            <c:symbol val="none"/>
          </c:marker>
          <c:xVal>
            <c:numRef>
              <c:f>Estimator!$EE$39:$EE$129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Estimator!$EM$39:$EM$129</c:f>
              <c:numCache>
                <c:formatCode>0.00</c:formatCode>
                <c:ptCount val="91"/>
                <c:pt idx="0">
                  <c:v>76.53</c:v>
                </c:pt>
                <c:pt idx="1">
                  <c:v>76.260000000000005</c:v>
                </c:pt>
                <c:pt idx="2">
                  <c:v>75.990000000000009</c:v>
                </c:pt>
                <c:pt idx="3">
                  <c:v>75.720000000000013</c:v>
                </c:pt>
                <c:pt idx="4">
                  <c:v>75.450000000000017</c:v>
                </c:pt>
                <c:pt idx="5">
                  <c:v>75.180000000000021</c:v>
                </c:pt>
                <c:pt idx="6">
                  <c:v>74.910000000000025</c:v>
                </c:pt>
                <c:pt idx="7">
                  <c:v>74.640000000000029</c:v>
                </c:pt>
                <c:pt idx="8">
                  <c:v>74.370000000000033</c:v>
                </c:pt>
                <c:pt idx="9">
                  <c:v>74.100000000000037</c:v>
                </c:pt>
                <c:pt idx="10">
                  <c:v>73.83</c:v>
                </c:pt>
                <c:pt idx="11">
                  <c:v>73.051333333333332</c:v>
                </c:pt>
                <c:pt idx="12">
                  <c:v>72.272666666666666</c:v>
                </c:pt>
                <c:pt idx="13">
                  <c:v>71.494</c:v>
                </c:pt>
                <c:pt idx="14">
                  <c:v>70.715333333333334</c:v>
                </c:pt>
                <c:pt idx="15">
                  <c:v>69.936666666666667</c:v>
                </c:pt>
                <c:pt idx="16">
                  <c:v>69.158000000000001</c:v>
                </c:pt>
                <c:pt idx="17">
                  <c:v>68.379333333333335</c:v>
                </c:pt>
                <c:pt idx="18">
                  <c:v>67.600666666666669</c:v>
                </c:pt>
                <c:pt idx="19">
                  <c:v>66.822000000000003</c:v>
                </c:pt>
                <c:pt idx="20">
                  <c:v>66.043333333333337</c:v>
                </c:pt>
                <c:pt idx="21">
                  <c:v>64.929666666666677</c:v>
                </c:pt>
                <c:pt idx="22">
                  <c:v>63.81600000000001</c:v>
                </c:pt>
                <c:pt idx="23">
                  <c:v>62.702333333333343</c:v>
                </c:pt>
                <c:pt idx="24">
                  <c:v>61.588666666666676</c:v>
                </c:pt>
                <c:pt idx="25">
                  <c:v>60.475000000000009</c:v>
                </c:pt>
                <c:pt idx="26">
                  <c:v>59.361333333333341</c:v>
                </c:pt>
                <c:pt idx="27">
                  <c:v>58.247666666666674</c:v>
                </c:pt>
                <c:pt idx="28">
                  <c:v>57.134000000000007</c:v>
                </c:pt>
                <c:pt idx="29">
                  <c:v>56.02033333333334</c:v>
                </c:pt>
                <c:pt idx="30">
                  <c:v>54.906666666666673</c:v>
                </c:pt>
                <c:pt idx="31">
                  <c:v>53.759000000000007</c:v>
                </c:pt>
                <c:pt idx="32">
                  <c:v>52.611333333333341</c:v>
                </c:pt>
                <c:pt idx="33">
                  <c:v>51.463666666666676</c:v>
                </c:pt>
                <c:pt idx="34">
                  <c:v>50.31600000000001</c:v>
                </c:pt>
                <c:pt idx="35">
                  <c:v>49.168333333333344</c:v>
                </c:pt>
                <c:pt idx="36">
                  <c:v>48.020666666666678</c:v>
                </c:pt>
                <c:pt idx="37">
                  <c:v>46.873000000000012</c:v>
                </c:pt>
                <c:pt idx="38">
                  <c:v>45.725333333333346</c:v>
                </c:pt>
                <c:pt idx="39">
                  <c:v>44.57766666666668</c:v>
                </c:pt>
                <c:pt idx="40">
                  <c:v>43.430000000000007</c:v>
                </c:pt>
                <c:pt idx="41">
                  <c:v>42.438000000000002</c:v>
                </c:pt>
                <c:pt idx="42">
                  <c:v>41.445999999999998</c:v>
                </c:pt>
                <c:pt idx="43">
                  <c:v>40.453999999999994</c:v>
                </c:pt>
                <c:pt idx="44">
                  <c:v>39.461999999999989</c:v>
                </c:pt>
                <c:pt idx="45">
                  <c:v>38.469999999999985</c:v>
                </c:pt>
                <c:pt idx="46">
                  <c:v>37.47799999999998</c:v>
                </c:pt>
                <c:pt idx="47">
                  <c:v>36.485999999999976</c:v>
                </c:pt>
                <c:pt idx="48">
                  <c:v>35.493999999999971</c:v>
                </c:pt>
                <c:pt idx="49">
                  <c:v>34.501999999999967</c:v>
                </c:pt>
                <c:pt idx="50">
                  <c:v>33.51</c:v>
                </c:pt>
                <c:pt idx="51">
                  <c:v>32.68033333333333</c:v>
                </c:pt>
                <c:pt idx="52">
                  <c:v>31.850666666666662</c:v>
                </c:pt>
                <c:pt idx="53">
                  <c:v>31.020999999999994</c:v>
                </c:pt>
                <c:pt idx="54">
                  <c:v>30.191333333333326</c:v>
                </c:pt>
                <c:pt idx="55">
                  <c:v>29.361666666666657</c:v>
                </c:pt>
                <c:pt idx="56">
                  <c:v>28.531999999999989</c:v>
                </c:pt>
                <c:pt idx="57">
                  <c:v>27.702333333333321</c:v>
                </c:pt>
                <c:pt idx="58">
                  <c:v>26.872666666666653</c:v>
                </c:pt>
                <c:pt idx="59">
                  <c:v>26.042999999999985</c:v>
                </c:pt>
                <c:pt idx="60">
                  <c:v>25.213333333333335</c:v>
                </c:pt>
                <c:pt idx="61">
                  <c:v>24.494</c:v>
                </c:pt>
                <c:pt idx="62">
                  <c:v>23.774666666666665</c:v>
                </c:pt>
                <c:pt idx="63">
                  <c:v>23.05533333333333</c:v>
                </c:pt>
                <c:pt idx="64">
                  <c:v>22.335999999999995</c:v>
                </c:pt>
                <c:pt idx="65">
                  <c:v>21.61666666666666</c:v>
                </c:pt>
                <c:pt idx="66">
                  <c:v>20.897333333333325</c:v>
                </c:pt>
                <c:pt idx="67">
                  <c:v>20.17799999999999</c:v>
                </c:pt>
                <c:pt idx="68">
                  <c:v>19.458666666666655</c:v>
                </c:pt>
                <c:pt idx="69">
                  <c:v>18.73933333333332</c:v>
                </c:pt>
                <c:pt idx="70">
                  <c:v>18.02</c:v>
                </c:pt>
                <c:pt idx="71">
                  <c:v>17.246666666666666</c:v>
                </c:pt>
                <c:pt idx="72">
                  <c:v>16.473333333333333</c:v>
                </c:pt>
                <c:pt idx="73">
                  <c:v>15.7</c:v>
                </c:pt>
                <c:pt idx="74">
                  <c:v>14.926666666666666</c:v>
                </c:pt>
                <c:pt idx="75">
                  <c:v>14.153333333333332</c:v>
                </c:pt>
                <c:pt idx="76">
                  <c:v>13.379999999999999</c:v>
                </c:pt>
                <c:pt idx="77">
                  <c:v>12.606666666666666</c:v>
                </c:pt>
                <c:pt idx="78">
                  <c:v>11.833333333333332</c:v>
                </c:pt>
                <c:pt idx="79">
                  <c:v>11.059999999999999</c:v>
                </c:pt>
                <c:pt idx="80">
                  <c:v>10.286666666666667</c:v>
                </c:pt>
                <c:pt idx="81">
                  <c:v>9.3773333333333344</c:v>
                </c:pt>
                <c:pt idx="82">
                  <c:v>8.4680000000000017</c:v>
                </c:pt>
                <c:pt idx="83">
                  <c:v>7.5586666666666682</c:v>
                </c:pt>
                <c:pt idx="84">
                  <c:v>6.6493333333333347</c:v>
                </c:pt>
                <c:pt idx="85">
                  <c:v>5.7400000000000011</c:v>
                </c:pt>
                <c:pt idx="86">
                  <c:v>4.8306666666666676</c:v>
                </c:pt>
                <c:pt idx="87">
                  <c:v>3.921333333333334</c:v>
                </c:pt>
                <c:pt idx="88">
                  <c:v>3.0120000000000005</c:v>
                </c:pt>
                <c:pt idx="89">
                  <c:v>2.1026666666666669</c:v>
                </c:pt>
                <c:pt idx="90">
                  <c:v>1.1933333333333334</c:v>
                </c:pt>
              </c:numCache>
            </c:numRef>
          </c:yVal>
        </c:ser>
        <c:axId val="166116352"/>
        <c:axId val="166126720"/>
      </c:scatterChart>
      <c:valAx>
        <c:axId val="166116352"/>
        <c:scaling>
          <c:orientation val="minMax"/>
          <c:max val="90"/>
        </c:scaling>
        <c:axPos val="b"/>
        <c:majorGridlines/>
        <c:title>
          <c:tx>
            <c:rich>
              <a:bodyPr/>
              <a:lstStyle/>
              <a:p>
                <a:pPr>
                  <a:defRPr/>
                </a:pPr>
                <a:r>
                  <a:rPr lang="en-US"/>
                  <a:t>Zenith (deg)</a:t>
                </a:r>
              </a:p>
            </c:rich>
          </c:tx>
          <c:layout>
            <c:manualLayout>
              <c:xMode val="edge"/>
              <c:yMode val="edge"/>
              <c:x val="0.39885170603674602"/>
              <c:y val="0.87868037328667381"/>
            </c:manualLayout>
          </c:layout>
        </c:title>
        <c:numFmt formatCode="General" sourceLinked="1"/>
        <c:minorTickMark val="out"/>
        <c:tickLblPos val="nextTo"/>
        <c:crossAx val="166126720"/>
        <c:crosses val="autoZero"/>
        <c:crossBetween val="midCat"/>
        <c:majorUnit val="10"/>
        <c:minorUnit val="5"/>
      </c:valAx>
      <c:valAx>
        <c:axId val="166126720"/>
        <c:scaling>
          <c:orientation val="minMax"/>
        </c:scaling>
        <c:axPos val="l"/>
        <c:majorGridlines/>
        <c:title>
          <c:tx>
            <c:rich>
              <a:bodyPr/>
              <a:lstStyle/>
              <a:p>
                <a:pPr>
                  <a:defRPr/>
                </a:pPr>
                <a:r>
                  <a:rPr lang="en-US"/>
                  <a:t>Radiance (W/(sr-m^2))</a:t>
                </a:r>
              </a:p>
            </c:rich>
          </c:tx>
        </c:title>
        <c:numFmt formatCode="0" sourceLinked="0"/>
        <c:majorTickMark val="none"/>
        <c:tickLblPos val="nextTo"/>
        <c:crossAx val="166116352"/>
        <c:crosses val="autoZero"/>
        <c:crossBetween val="midCat"/>
      </c:valAx>
    </c:plotArea>
    <c:legend>
      <c:legendPos val="r"/>
    </c:legend>
    <c:plotVisOnly val="1"/>
  </c:chart>
  <c:printSettings>
    <c:headerFooter/>
    <c:pageMargins b="0.75000000000000133" l="0.70000000000000062" r="0.70000000000000062" t="0.750000000000001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00"/>
            </a:pPr>
            <a:r>
              <a:rPr lang="en-US" sz="1000"/>
              <a:t>Diffuse cloud radiance</a:t>
            </a:r>
          </a:p>
        </c:rich>
      </c:tx>
    </c:title>
    <c:plotArea>
      <c:layout/>
      <c:scatterChart>
        <c:scatterStyle val="lineMarker"/>
        <c:ser>
          <c:idx val="0"/>
          <c:order val="0"/>
          <c:tx>
            <c:strRef>
              <c:f>Estimator!$EP$38</c:f>
              <c:strCache>
                <c:ptCount val="1"/>
                <c:pt idx="0">
                  <c:v>U Winter</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Estimator!$EP$39:$EP$129</c:f>
              <c:numCache>
                <c:formatCode>0.00</c:formatCode>
                <c:ptCount val="91"/>
                <c:pt idx="0">
                  <c:v>33.96</c:v>
                </c:pt>
                <c:pt idx="1">
                  <c:v>33.832000000000001</c:v>
                </c:pt>
                <c:pt idx="2">
                  <c:v>33.704000000000001</c:v>
                </c:pt>
                <c:pt idx="3">
                  <c:v>33.576000000000001</c:v>
                </c:pt>
                <c:pt idx="4">
                  <c:v>33.448</c:v>
                </c:pt>
                <c:pt idx="5">
                  <c:v>33.32</c:v>
                </c:pt>
                <c:pt idx="6">
                  <c:v>33.192</c:v>
                </c:pt>
                <c:pt idx="7">
                  <c:v>33.064</c:v>
                </c:pt>
                <c:pt idx="8">
                  <c:v>32.936</c:v>
                </c:pt>
                <c:pt idx="9">
                  <c:v>32.808</c:v>
                </c:pt>
                <c:pt idx="10">
                  <c:v>32.68</c:v>
                </c:pt>
                <c:pt idx="11">
                  <c:v>32.390999999999998</c:v>
                </c:pt>
                <c:pt idx="12">
                  <c:v>32.101999999999997</c:v>
                </c:pt>
                <c:pt idx="13">
                  <c:v>31.812999999999995</c:v>
                </c:pt>
                <c:pt idx="14">
                  <c:v>31.523999999999994</c:v>
                </c:pt>
                <c:pt idx="15">
                  <c:v>31.234999999999992</c:v>
                </c:pt>
                <c:pt idx="16">
                  <c:v>30.945999999999991</c:v>
                </c:pt>
                <c:pt idx="17">
                  <c:v>30.656999999999989</c:v>
                </c:pt>
                <c:pt idx="18">
                  <c:v>30.367999999999988</c:v>
                </c:pt>
                <c:pt idx="19">
                  <c:v>30.078999999999986</c:v>
                </c:pt>
                <c:pt idx="20">
                  <c:v>29.79</c:v>
                </c:pt>
                <c:pt idx="21">
                  <c:v>29.355</c:v>
                </c:pt>
                <c:pt idx="22">
                  <c:v>28.92</c:v>
                </c:pt>
                <c:pt idx="23">
                  <c:v>28.485000000000003</c:v>
                </c:pt>
                <c:pt idx="24">
                  <c:v>28.050000000000004</c:v>
                </c:pt>
                <c:pt idx="25">
                  <c:v>27.615000000000006</c:v>
                </c:pt>
                <c:pt idx="26">
                  <c:v>27.180000000000007</c:v>
                </c:pt>
                <c:pt idx="27">
                  <c:v>26.745000000000008</c:v>
                </c:pt>
                <c:pt idx="28">
                  <c:v>26.310000000000009</c:v>
                </c:pt>
                <c:pt idx="29">
                  <c:v>25.875000000000011</c:v>
                </c:pt>
                <c:pt idx="30">
                  <c:v>25.44</c:v>
                </c:pt>
                <c:pt idx="31">
                  <c:v>24.848000000000003</c:v>
                </c:pt>
                <c:pt idx="32">
                  <c:v>24.256000000000004</c:v>
                </c:pt>
                <c:pt idx="33">
                  <c:v>23.664000000000005</c:v>
                </c:pt>
                <c:pt idx="34">
                  <c:v>23.072000000000006</c:v>
                </c:pt>
                <c:pt idx="35">
                  <c:v>22.480000000000008</c:v>
                </c:pt>
                <c:pt idx="36">
                  <c:v>21.888000000000009</c:v>
                </c:pt>
                <c:pt idx="37">
                  <c:v>21.29600000000001</c:v>
                </c:pt>
                <c:pt idx="38">
                  <c:v>20.704000000000011</c:v>
                </c:pt>
                <c:pt idx="39">
                  <c:v>20.112000000000013</c:v>
                </c:pt>
                <c:pt idx="40">
                  <c:v>19.52</c:v>
                </c:pt>
                <c:pt idx="41">
                  <c:v>18.855</c:v>
                </c:pt>
                <c:pt idx="42">
                  <c:v>18.190000000000001</c:v>
                </c:pt>
                <c:pt idx="43">
                  <c:v>17.525000000000002</c:v>
                </c:pt>
                <c:pt idx="44">
                  <c:v>16.860000000000003</c:v>
                </c:pt>
                <c:pt idx="45">
                  <c:v>16.195000000000004</c:v>
                </c:pt>
                <c:pt idx="46">
                  <c:v>15.530000000000005</c:v>
                </c:pt>
                <c:pt idx="47">
                  <c:v>14.865000000000006</c:v>
                </c:pt>
                <c:pt idx="48">
                  <c:v>14.200000000000006</c:v>
                </c:pt>
                <c:pt idx="49">
                  <c:v>13.535000000000007</c:v>
                </c:pt>
                <c:pt idx="50">
                  <c:v>12.87</c:v>
                </c:pt>
                <c:pt idx="51">
                  <c:v>12.343</c:v>
                </c:pt>
                <c:pt idx="52">
                  <c:v>11.816000000000001</c:v>
                </c:pt>
                <c:pt idx="53">
                  <c:v>11.289000000000001</c:v>
                </c:pt>
                <c:pt idx="54">
                  <c:v>10.762000000000002</c:v>
                </c:pt>
                <c:pt idx="55">
                  <c:v>10.235000000000003</c:v>
                </c:pt>
                <c:pt idx="56">
                  <c:v>9.7080000000000037</c:v>
                </c:pt>
                <c:pt idx="57">
                  <c:v>9.1810000000000045</c:v>
                </c:pt>
                <c:pt idx="58">
                  <c:v>8.6540000000000052</c:v>
                </c:pt>
                <c:pt idx="59">
                  <c:v>8.127000000000006</c:v>
                </c:pt>
                <c:pt idx="60">
                  <c:v>7.6</c:v>
                </c:pt>
                <c:pt idx="61">
                  <c:v>7.2269999999999994</c:v>
                </c:pt>
                <c:pt idx="62">
                  <c:v>6.8539999999999992</c:v>
                </c:pt>
                <c:pt idx="63">
                  <c:v>6.480999999999999</c:v>
                </c:pt>
                <c:pt idx="64">
                  <c:v>6.1079999999999988</c:v>
                </c:pt>
                <c:pt idx="65">
                  <c:v>5.7349999999999985</c:v>
                </c:pt>
                <c:pt idx="66">
                  <c:v>5.3619999999999983</c:v>
                </c:pt>
                <c:pt idx="67">
                  <c:v>4.9889999999999981</c:v>
                </c:pt>
                <c:pt idx="68">
                  <c:v>4.6159999999999979</c:v>
                </c:pt>
                <c:pt idx="69">
                  <c:v>4.2429999999999977</c:v>
                </c:pt>
                <c:pt idx="70">
                  <c:v>3.87</c:v>
                </c:pt>
                <c:pt idx="71">
                  <c:v>3.6259999999999999</c:v>
                </c:pt>
                <c:pt idx="72">
                  <c:v>3.3819999999999997</c:v>
                </c:pt>
                <c:pt idx="73">
                  <c:v>3.1379999999999995</c:v>
                </c:pt>
                <c:pt idx="74">
                  <c:v>2.8939999999999992</c:v>
                </c:pt>
                <c:pt idx="75">
                  <c:v>2.649999999999999</c:v>
                </c:pt>
                <c:pt idx="76">
                  <c:v>2.4059999999999988</c:v>
                </c:pt>
                <c:pt idx="77">
                  <c:v>2.1619999999999986</c:v>
                </c:pt>
                <c:pt idx="78">
                  <c:v>1.9179999999999986</c:v>
                </c:pt>
                <c:pt idx="79">
                  <c:v>1.6739999999999986</c:v>
                </c:pt>
                <c:pt idx="80">
                  <c:v>1.43</c:v>
                </c:pt>
                <c:pt idx="81">
                  <c:v>1.3089999999999999</c:v>
                </c:pt>
                <c:pt idx="82">
                  <c:v>1.1879999999999999</c:v>
                </c:pt>
                <c:pt idx="83">
                  <c:v>1.0669999999999999</c:v>
                </c:pt>
                <c:pt idx="84">
                  <c:v>0.94599999999999995</c:v>
                </c:pt>
                <c:pt idx="85">
                  <c:v>0.82499999999999996</c:v>
                </c:pt>
                <c:pt idx="86">
                  <c:v>0.70399999999999996</c:v>
                </c:pt>
                <c:pt idx="87">
                  <c:v>0.58299999999999996</c:v>
                </c:pt>
                <c:pt idx="88">
                  <c:v>0.46199999999999997</c:v>
                </c:pt>
                <c:pt idx="89">
                  <c:v>0.34099999999999997</c:v>
                </c:pt>
                <c:pt idx="90">
                  <c:v>0.22</c:v>
                </c:pt>
              </c:numCache>
            </c:numRef>
          </c:yVal>
        </c:ser>
        <c:ser>
          <c:idx val="1"/>
          <c:order val="1"/>
          <c:tx>
            <c:strRef>
              <c:f>Estimator!$EQ$38</c:f>
              <c:strCache>
                <c:ptCount val="1"/>
                <c:pt idx="0">
                  <c:v>U Spring</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Estimator!$EQ$39:$EQ$129</c:f>
              <c:numCache>
                <c:formatCode>0.00</c:formatCode>
                <c:ptCount val="91"/>
                <c:pt idx="0">
                  <c:v>32.19</c:v>
                </c:pt>
                <c:pt idx="1">
                  <c:v>32.092999999999996</c:v>
                </c:pt>
                <c:pt idx="2">
                  <c:v>31.995999999999995</c:v>
                </c:pt>
                <c:pt idx="3">
                  <c:v>31.898999999999994</c:v>
                </c:pt>
                <c:pt idx="4">
                  <c:v>31.801999999999992</c:v>
                </c:pt>
                <c:pt idx="5">
                  <c:v>31.704999999999991</c:v>
                </c:pt>
                <c:pt idx="6">
                  <c:v>31.60799999999999</c:v>
                </c:pt>
                <c:pt idx="7">
                  <c:v>31.510999999999989</c:v>
                </c:pt>
                <c:pt idx="8">
                  <c:v>31.413999999999987</c:v>
                </c:pt>
                <c:pt idx="9">
                  <c:v>31.316999999999986</c:v>
                </c:pt>
                <c:pt idx="10">
                  <c:v>31.22</c:v>
                </c:pt>
                <c:pt idx="11">
                  <c:v>30.943999999999999</c:v>
                </c:pt>
                <c:pt idx="12">
                  <c:v>30.667999999999999</c:v>
                </c:pt>
                <c:pt idx="13">
                  <c:v>30.391999999999999</c:v>
                </c:pt>
                <c:pt idx="14">
                  <c:v>30.116</c:v>
                </c:pt>
                <c:pt idx="15">
                  <c:v>29.84</c:v>
                </c:pt>
                <c:pt idx="16">
                  <c:v>29.564</c:v>
                </c:pt>
                <c:pt idx="17">
                  <c:v>29.288</c:v>
                </c:pt>
                <c:pt idx="18">
                  <c:v>29.012</c:v>
                </c:pt>
                <c:pt idx="19">
                  <c:v>28.736000000000001</c:v>
                </c:pt>
                <c:pt idx="20">
                  <c:v>28.46</c:v>
                </c:pt>
                <c:pt idx="21">
                  <c:v>28.045999999999999</c:v>
                </c:pt>
                <c:pt idx="22">
                  <c:v>27.631999999999998</c:v>
                </c:pt>
                <c:pt idx="23">
                  <c:v>27.217999999999996</c:v>
                </c:pt>
                <c:pt idx="24">
                  <c:v>26.803999999999995</c:v>
                </c:pt>
                <c:pt idx="25">
                  <c:v>26.389999999999993</c:v>
                </c:pt>
                <c:pt idx="26">
                  <c:v>25.975999999999992</c:v>
                </c:pt>
                <c:pt idx="27">
                  <c:v>25.561999999999991</c:v>
                </c:pt>
                <c:pt idx="28">
                  <c:v>25.147999999999989</c:v>
                </c:pt>
                <c:pt idx="29">
                  <c:v>24.733999999999988</c:v>
                </c:pt>
                <c:pt idx="30">
                  <c:v>24.32</c:v>
                </c:pt>
                <c:pt idx="31">
                  <c:v>23.753</c:v>
                </c:pt>
                <c:pt idx="32">
                  <c:v>23.186</c:v>
                </c:pt>
                <c:pt idx="33">
                  <c:v>22.619</c:v>
                </c:pt>
                <c:pt idx="34">
                  <c:v>22.052</c:v>
                </c:pt>
                <c:pt idx="35">
                  <c:v>21.484999999999999</c:v>
                </c:pt>
                <c:pt idx="36">
                  <c:v>20.917999999999999</c:v>
                </c:pt>
                <c:pt idx="37">
                  <c:v>20.350999999999999</c:v>
                </c:pt>
                <c:pt idx="38">
                  <c:v>19.783999999999999</c:v>
                </c:pt>
                <c:pt idx="39">
                  <c:v>19.216999999999999</c:v>
                </c:pt>
                <c:pt idx="40">
                  <c:v>18.649999999999999</c:v>
                </c:pt>
                <c:pt idx="41">
                  <c:v>18.015999999999998</c:v>
                </c:pt>
                <c:pt idx="42">
                  <c:v>17.381999999999998</c:v>
                </c:pt>
                <c:pt idx="43">
                  <c:v>16.747999999999998</c:v>
                </c:pt>
                <c:pt idx="44">
                  <c:v>16.113999999999997</c:v>
                </c:pt>
                <c:pt idx="45">
                  <c:v>15.479999999999997</c:v>
                </c:pt>
                <c:pt idx="46">
                  <c:v>14.845999999999997</c:v>
                </c:pt>
                <c:pt idx="47">
                  <c:v>14.211999999999996</c:v>
                </c:pt>
                <c:pt idx="48">
                  <c:v>13.577999999999996</c:v>
                </c:pt>
                <c:pt idx="49">
                  <c:v>12.943999999999996</c:v>
                </c:pt>
                <c:pt idx="50">
                  <c:v>12.31</c:v>
                </c:pt>
                <c:pt idx="51">
                  <c:v>11.806000000000001</c:v>
                </c:pt>
                <c:pt idx="52">
                  <c:v>11.302000000000001</c:v>
                </c:pt>
                <c:pt idx="53">
                  <c:v>10.798000000000002</c:v>
                </c:pt>
                <c:pt idx="54">
                  <c:v>10.294000000000002</c:v>
                </c:pt>
                <c:pt idx="55">
                  <c:v>9.7900000000000027</c:v>
                </c:pt>
                <c:pt idx="56">
                  <c:v>9.2860000000000031</c:v>
                </c:pt>
                <c:pt idx="57">
                  <c:v>8.7820000000000036</c:v>
                </c:pt>
                <c:pt idx="58">
                  <c:v>8.278000000000004</c:v>
                </c:pt>
                <c:pt idx="59">
                  <c:v>7.7740000000000036</c:v>
                </c:pt>
                <c:pt idx="60">
                  <c:v>7.27</c:v>
                </c:pt>
                <c:pt idx="61">
                  <c:v>6.9129999999999994</c:v>
                </c:pt>
                <c:pt idx="62">
                  <c:v>6.5559999999999992</c:v>
                </c:pt>
                <c:pt idx="63">
                  <c:v>6.198999999999999</c:v>
                </c:pt>
                <c:pt idx="64">
                  <c:v>5.8419999999999987</c:v>
                </c:pt>
                <c:pt idx="65">
                  <c:v>5.4849999999999985</c:v>
                </c:pt>
                <c:pt idx="66">
                  <c:v>5.1279999999999983</c:v>
                </c:pt>
                <c:pt idx="67">
                  <c:v>4.7709999999999981</c:v>
                </c:pt>
                <c:pt idx="68">
                  <c:v>4.4139999999999979</c:v>
                </c:pt>
                <c:pt idx="69">
                  <c:v>4.0569999999999977</c:v>
                </c:pt>
                <c:pt idx="70">
                  <c:v>3.7</c:v>
                </c:pt>
                <c:pt idx="71">
                  <c:v>3.4670000000000001</c:v>
                </c:pt>
                <c:pt idx="72">
                  <c:v>3.234</c:v>
                </c:pt>
                <c:pt idx="73">
                  <c:v>3.0009999999999999</c:v>
                </c:pt>
                <c:pt idx="74">
                  <c:v>2.7679999999999998</c:v>
                </c:pt>
                <c:pt idx="75">
                  <c:v>2.5349999999999997</c:v>
                </c:pt>
                <c:pt idx="76">
                  <c:v>2.3019999999999996</c:v>
                </c:pt>
                <c:pt idx="77">
                  <c:v>2.0689999999999995</c:v>
                </c:pt>
                <c:pt idx="78">
                  <c:v>1.8359999999999994</c:v>
                </c:pt>
                <c:pt idx="79">
                  <c:v>1.6029999999999993</c:v>
                </c:pt>
                <c:pt idx="80">
                  <c:v>1.37</c:v>
                </c:pt>
                <c:pt idx="81">
                  <c:v>1.2550000000000001</c:v>
                </c:pt>
                <c:pt idx="82">
                  <c:v>1.1400000000000001</c:v>
                </c:pt>
                <c:pt idx="83">
                  <c:v>1.0250000000000001</c:v>
                </c:pt>
                <c:pt idx="84">
                  <c:v>0.91000000000000014</c:v>
                </c:pt>
                <c:pt idx="85">
                  <c:v>0.79500000000000015</c:v>
                </c:pt>
                <c:pt idx="86">
                  <c:v>0.68000000000000016</c:v>
                </c:pt>
                <c:pt idx="87">
                  <c:v>0.56500000000000017</c:v>
                </c:pt>
                <c:pt idx="88">
                  <c:v>0.45000000000000018</c:v>
                </c:pt>
                <c:pt idx="89">
                  <c:v>0.33500000000000019</c:v>
                </c:pt>
                <c:pt idx="90">
                  <c:v>0.22</c:v>
                </c:pt>
              </c:numCache>
            </c:numRef>
          </c:yVal>
        </c:ser>
        <c:ser>
          <c:idx val="2"/>
          <c:order val="2"/>
          <c:tx>
            <c:strRef>
              <c:f>Estimator!$ER$38</c:f>
              <c:strCache>
                <c:ptCount val="1"/>
                <c:pt idx="0">
                  <c:v>U Summer</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Estimator!$ER$39:$ER$129</c:f>
              <c:numCache>
                <c:formatCode>0.00</c:formatCode>
                <c:ptCount val="91"/>
                <c:pt idx="0">
                  <c:v>31.85</c:v>
                </c:pt>
                <c:pt idx="1">
                  <c:v>31.754000000000001</c:v>
                </c:pt>
                <c:pt idx="2">
                  <c:v>31.658000000000001</c:v>
                </c:pt>
                <c:pt idx="3">
                  <c:v>31.562000000000001</c:v>
                </c:pt>
                <c:pt idx="4">
                  <c:v>31.466000000000001</c:v>
                </c:pt>
                <c:pt idx="5">
                  <c:v>31.37</c:v>
                </c:pt>
                <c:pt idx="6">
                  <c:v>31.274000000000001</c:v>
                </c:pt>
                <c:pt idx="7">
                  <c:v>31.178000000000001</c:v>
                </c:pt>
                <c:pt idx="8">
                  <c:v>31.082000000000001</c:v>
                </c:pt>
                <c:pt idx="9">
                  <c:v>30.986000000000001</c:v>
                </c:pt>
                <c:pt idx="10">
                  <c:v>30.89</c:v>
                </c:pt>
                <c:pt idx="11">
                  <c:v>30.617000000000001</c:v>
                </c:pt>
                <c:pt idx="12">
                  <c:v>30.344000000000001</c:v>
                </c:pt>
                <c:pt idx="13">
                  <c:v>30.071000000000002</c:v>
                </c:pt>
                <c:pt idx="14">
                  <c:v>29.798000000000002</c:v>
                </c:pt>
                <c:pt idx="15">
                  <c:v>29.525000000000002</c:v>
                </c:pt>
                <c:pt idx="16">
                  <c:v>29.252000000000002</c:v>
                </c:pt>
                <c:pt idx="17">
                  <c:v>28.979000000000003</c:v>
                </c:pt>
                <c:pt idx="18">
                  <c:v>28.706000000000003</c:v>
                </c:pt>
                <c:pt idx="19">
                  <c:v>28.433000000000003</c:v>
                </c:pt>
                <c:pt idx="20">
                  <c:v>28.16</c:v>
                </c:pt>
                <c:pt idx="21">
                  <c:v>27.75</c:v>
                </c:pt>
                <c:pt idx="22">
                  <c:v>27.34</c:v>
                </c:pt>
                <c:pt idx="23">
                  <c:v>26.93</c:v>
                </c:pt>
                <c:pt idx="24">
                  <c:v>26.52</c:v>
                </c:pt>
                <c:pt idx="25">
                  <c:v>26.11</c:v>
                </c:pt>
                <c:pt idx="26">
                  <c:v>25.7</c:v>
                </c:pt>
                <c:pt idx="27">
                  <c:v>25.29</c:v>
                </c:pt>
                <c:pt idx="28">
                  <c:v>24.88</c:v>
                </c:pt>
                <c:pt idx="29">
                  <c:v>24.47</c:v>
                </c:pt>
                <c:pt idx="30">
                  <c:v>24.06</c:v>
                </c:pt>
                <c:pt idx="31">
                  <c:v>23.5</c:v>
                </c:pt>
                <c:pt idx="32">
                  <c:v>22.94</c:v>
                </c:pt>
                <c:pt idx="33">
                  <c:v>22.380000000000003</c:v>
                </c:pt>
                <c:pt idx="34">
                  <c:v>21.820000000000004</c:v>
                </c:pt>
                <c:pt idx="35">
                  <c:v>21.260000000000005</c:v>
                </c:pt>
                <c:pt idx="36">
                  <c:v>20.700000000000006</c:v>
                </c:pt>
                <c:pt idx="37">
                  <c:v>20.140000000000008</c:v>
                </c:pt>
                <c:pt idx="38">
                  <c:v>19.580000000000009</c:v>
                </c:pt>
                <c:pt idx="39">
                  <c:v>19.02000000000001</c:v>
                </c:pt>
                <c:pt idx="40">
                  <c:v>18.46</c:v>
                </c:pt>
                <c:pt idx="41">
                  <c:v>17.832000000000001</c:v>
                </c:pt>
                <c:pt idx="42">
                  <c:v>17.204000000000001</c:v>
                </c:pt>
                <c:pt idx="43">
                  <c:v>16.576000000000001</c:v>
                </c:pt>
                <c:pt idx="44">
                  <c:v>15.948</c:v>
                </c:pt>
                <c:pt idx="45">
                  <c:v>15.32</c:v>
                </c:pt>
                <c:pt idx="46">
                  <c:v>14.692</c:v>
                </c:pt>
                <c:pt idx="47">
                  <c:v>14.064</c:v>
                </c:pt>
                <c:pt idx="48">
                  <c:v>13.436</c:v>
                </c:pt>
                <c:pt idx="49">
                  <c:v>12.808</c:v>
                </c:pt>
                <c:pt idx="50">
                  <c:v>12.18</c:v>
                </c:pt>
                <c:pt idx="51">
                  <c:v>11.680999999999999</c:v>
                </c:pt>
                <c:pt idx="52">
                  <c:v>11.181999999999999</c:v>
                </c:pt>
                <c:pt idx="53">
                  <c:v>10.682999999999998</c:v>
                </c:pt>
                <c:pt idx="54">
                  <c:v>10.183999999999997</c:v>
                </c:pt>
                <c:pt idx="55">
                  <c:v>9.6849999999999969</c:v>
                </c:pt>
                <c:pt idx="56">
                  <c:v>9.1859999999999964</c:v>
                </c:pt>
                <c:pt idx="57">
                  <c:v>8.6869999999999958</c:v>
                </c:pt>
                <c:pt idx="58">
                  <c:v>8.1879999999999953</c:v>
                </c:pt>
                <c:pt idx="59">
                  <c:v>7.6889999999999956</c:v>
                </c:pt>
                <c:pt idx="60">
                  <c:v>7.19</c:v>
                </c:pt>
                <c:pt idx="61">
                  <c:v>6.8370000000000006</c:v>
                </c:pt>
                <c:pt idx="62">
                  <c:v>6.4840000000000009</c:v>
                </c:pt>
                <c:pt idx="63">
                  <c:v>6.1310000000000011</c:v>
                </c:pt>
                <c:pt idx="64">
                  <c:v>5.7780000000000014</c:v>
                </c:pt>
                <c:pt idx="65">
                  <c:v>5.4250000000000016</c:v>
                </c:pt>
                <c:pt idx="66">
                  <c:v>5.0720000000000018</c:v>
                </c:pt>
                <c:pt idx="67">
                  <c:v>4.7190000000000021</c:v>
                </c:pt>
                <c:pt idx="68">
                  <c:v>4.3660000000000023</c:v>
                </c:pt>
                <c:pt idx="69">
                  <c:v>4.0130000000000026</c:v>
                </c:pt>
                <c:pt idx="70">
                  <c:v>3.66</c:v>
                </c:pt>
                <c:pt idx="71">
                  <c:v>3.43</c:v>
                </c:pt>
                <c:pt idx="72">
                  <c:v>3.2</c:v>
                </c:pt>
                <c:pt idx="73">
                  <c:v>2.97</c:v>
                </c:pt>
                <c:pt idx="74">
                  <c:v>2.74</c:v>
                </c:pt>
                <c:pt idx="75">
                  <c:v>2.5100000000000002</c:v>
                </c:pt>
                <c:pt idx="76">
                  <c:v>2.2800000000000002</c:v>
                </c:pt>
                <c:pt idx="77">
                  <c:v>2.0500000000000003</c:v>
                </c:pt>
                <c:pt idx="78">
                  <c:v>1.8200000000000003</c:v>
                </c:pt>
                <c:pt idx="79">
                  <c:v>1.5900000000000003</c:v>
                </c:pt>
                <c:pt idx="80">
                  <c:v>1.36</c:v>
                </c:pt>
                <c:pt idx="81">
                  <c:v>1.246</c:v>
                </c:pt>
                <c:pt idx="82">
                  <c:v>1.1319999999999999</c:v>
                </c:pt>
                <c:pt idx="83">
                  <c:v>1.0179999999999998</c:v>
                </c:pt>
                <c:pt idx="84">
                  <c:v>0.9039999999999998</c:v>
                </c:pt>
                <c:pt idx="85">
                  <c:v>0.78999999999999981</c:v>
                </c:pt>
                <c:pt idx="86">
                  <c:v>0.67599999999999982</c:v>
                </c:pt>
                <c:pt idx="87">
                  <c:v>0.56199999999999983</c:v>
                </c:pt>
                <c:pt idx="88">
                  <c:v>0.44799999999999984</c:v>
                </c:pt>
                <c:pt idx="89">
                  <c:v>0.33399999999999985</c:v>
                </c:pt>
                <c:pt idx="90">
                  <c:v>0.22</c:v>
                </c:pt>
              </c:numCache>
            </c:numRef>
          </c:yVal>
        </c:ser>
        <c:ser>
          <c:idx val="3"/>
          <c:order val="3"/>
          <c:tx>
            <c:strRef>
              <c:f>Estimator!$ES$38</c:f>
              <c:strCache>
                <c:ptCount val="1"/>
                <c:pt idx="0">
                  <c:v>U Fall</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Estimator!$ES$39:$ES$129</c:f>
              <c:numCache>
                <c:formatCode>0.00</c:formatCode>
                <c:ptCount val="91"/>
                <c:pt idx="0">
                  <c:v>33.28</c:v>
                </c:pt>
                <c:pt idx="1">
                  <c:v>33.18</c:v>
                </c:pt>
                <c:pt idx="2">
                  <c:v>33.08</c:v>
                </c:pt>
                <c:pt idx="3">
                  <c:v>32.979999999999997</c:v>
                </c:pt>
                <c:pt idx="4">
                  <c:v>32.879999999999995</c:v>
                </c:pt>
                <c:pt idx="5">
                  <c:v>32.779999999999994</c:v>
                </c:pt>
                <c:pt idx="6">
                  <c:v>32.679999999999993</c:v>
                </c:pt>
                <c:pt idx="7">
                  <c:v>32.579999999999991</c:v>
                </c:pt>
                <c:pt idx="8">
                  <c:v>32.47999999999999</c:v>
                </c:pt>
                <c:pt idx="9">
                  <c:v>32.379999999999988</c:v>
                </c:pt>
                <c:pt idx="10">
                  <c:v>32.28</c:v>
                </c:pt>
                <c:pt idx="11">
                  <c:v>31.995000000000001</c:v>
                </c:pt>
                <c:pt idx="12">
                  <c:v>31.71</c:v>
                </c:pt>
                <c:pt idx="13">
                  <c:v>31.425000000000001</c:v>
                </c:pt>
                <c:pt idx="14">
                  <c:v>31.14</c:v>
                </c:pt>
                <c:pt idx="15">
                  <c:v>30.855</c:v>
                </c:pt>
                <c:pt idx="16">
                  <c:v>30.57</c:v>
                </c:pt>
                <c:pt idx="17">
                  <c:v>30.285</c:v>
                </c:pt>
                <c:pt idx="18">
                  <c:v>30</c:v>
                </c:pt>
                <c:pt idx="19">
                  <c:v>29.715</c:v>
                </c:pt>
                <c:pt idx="20">
                  <c:v>29.43</c:v>
                </c:pt>
                <c:pt idx="21">
                  <c:v>29.001000000000001</c:v>
                </c:pt>
                <c:pt idx="22">
                  <c:v>28.572000000000003</c:v>
                </c:pt>
                <c:pt idx="23">
                  <c:v>28.143000000000004</c:v>
                </c:pt>
                <c:pt idx="24">
                  <c:v>27.714000000000006</c:v>
                </c:pt>
                <c:pt idx="25">
                  <c:v>27.285000000000007</c:v>
                </c:pt>
                <c:pt idx="26">
                  <c:v>26.856000000000009</c:v>
                </c:pt>
                <c:pt idx="27">
                  <c:v>26.42700000000001</c:v>
                </c:pt>
                <c:pt idx="28">
                  <c:v>25.998000000000012</c:v>
                </c:pt>
                <c:pt idx="29">
                  <c:v>25.569000000000013</c:v>
                </c:pt>
                <c:pt idx="30">
                  <c:v>25.14</c:v>
                </c:pt>
                <c:pt idx="31">
                  <c:v>24.554000000000002</c:v>
                </c:pt>
                <c:pt idx="32">
                  <c:v>23.968000000000004</c:v>
                </c:pt>
                <c:pt idx="33">
                  <c:v>23.382000000000005</c:v>
                </c:pt>
                <c:pt idx="34">
                  <c:v>22.796000000000006</c:v>
                </c:pt>
                <c:pt idx="35">
                  <c:v>22.210000000000008</c:v>
                </c:pt>
                <c:pt idx="36">
                  <c:v>21.624000000000009</c:v>
                </c:pt>
                <c:pt idx="37">
                  <c:v>21.038000000000011</c:v>
                </c:pt>
                <c:pt idx="38">
                  <c:v>20.452000000000012</c:v>
                </c:pt>
                <c:pt idx="39">
                  <c:v>19.866000000000014</c:v>
                </c:pt>
                <c:pt idx="40">
                  <c:v>19.28</c:v>
                </c:pt>
                <c:pt idx="41">
                  <c:v>18.624000000000002</c:v>
                </c:pt>
                <c:pt idx="42">
                  <c:v>17.968000000000004</c:v>
                </c:pt>
                <c:pt idx="43">
                  <c:v>17.312000000000005</c:v>
                </c:pt>
                <c:pt idx="44">
                  <c:v>16.656000000000006</c:v>
                </c:pt>
                <c:pt idx="45">
                  <c:v>16.000000000000007</c:v>
                </c:pt>
                <c:pt idx="46">
                  <c:v>15.344000000000007</c:v>
                </c:pt>
                <c:pt idx="47">
                  <c:v>14.688000000000006</c:v>
                </c:pt>
                <c:pt idx="48">
                  <c:v>14.032000000000005</c:v>
                </c:pt>
                <c:pt idx="49">
                  <c:v>13.376000000000005</c:v>
                </c:pt>
                <c:pt idx="50">
                  <c:v>12.72</c:v>
                </c:pt>
                <c:pt idx="51">
                  <c:v>12.199</c:v>
                </c:pt>
                <c:pt idx="52">
                  <c:v>11.677999999999999</c:v>
                </c:pt>
                <c:pt idx="53">
                  <c:v>11.156999999999998</c:v>
                </c:pt>
                <c:pt idx="54">
                  <c:v>10.635999999999997</c:v>
                </c:pt>
                <c:pt idx="55">
                  <c:v>10.114999999999997</c:v>
                </c:pt>
                <c:pt idx="56">
                  <c:v>9.5939999999999959</c:v>
                </c:pt>
                <c:pt idx="57">
                  <c:v>9.0729999999999951</c:v>
                </c:pt>
                <c:pt idx="58">
                  <c:v>8.5519999999999943</c:v>
                </c:pt>
                <c:pt idx="59">
                  <c:v>8.0309999999999935</c:v>
                </c:pt>
                <c:pt idx="60">
                  <c:v>7.51</c:v>
                </c:pt>
                <c:pt idx="61">
                  <c:v>7.141</c:v>
                </c:pt>
                <c:pt idx="62">
                  <c:v>6.7720000000000002</c:v>
                </c:pt>
                <c:pt idx="63">
                  <c:v>6.4030000000000005</c:v>
                </c:pt>
                <c:pt idx="64">
                  <c:v>6.0340000000000007</c:v>
                </c:pt>
                <c:pt idx="65">
                  <c:v>5.6650000000000009</c:v>
                </c:pt>
                <c:pt idx="66">
                  <c:v>5.2960000000000012</c:v>
                </c:pt>
                <c:pt idx="67">
                  <c:v>4.9270000000000014</c:v>
                </c:pt>
                <c:pt idx="68">
                  <c:v>4.5580000000000016</c:v>
                </c:pt>
                <c:pt idx="69">
                  <c:v>4.1890000000000018</c:v>
                </c:pt>
                <c:pt idx="70">
                  <c:v>3.82</c:v>
                </c:pt>
                <c:pt idx="71">
                  <c:v>3.5789999999999997</c:v>
                </c:pt>
                <c:pt idx="72">
                  <c:v>3.3379999999999996</c:v>
                </c:pt>
                <c:pt idx="73">
                  <c:v>3.0969999999999995</c:v>
                </c:pt>
                <c:pt idx="74">
                  <c:v>2.8559999999999994</c:v>
                </c:pt>
                <c:pt idx="75">
                  <c:v>2.6149999999999993</c:v>
                </c:pt>
                <c:pt idx="76">
                  <c:v>2.3739999999999992</c:v>
                </c:pt>
                <c:pt idx="77">
                  <c:v>2.1329999999999991</c:v>
                </c:pt>
                <c:pt idx="78">
                  <c:v>1.891999999999999</c:v>
                </c:pt>
                <c:pt idx="79">
                  <c:v>1.6509999999999989</c:v>
                </c:pt>
                <c:pt idx="80">
                  <c:v>1.41</c:v>
                </c:pt>
                <c:pt idx="81">
                  <c:v>1.2909999999999999</c:v>
                </c:pt>
                <c:pt idx="82">
                  <c:v>1.1719999999999999</c:v>
                </c:pt>
                <c:pt idx="83">
                  <c:v>1.0529999999999999</c:v>
                </c:pt>
                <c:pt idx="84">
                  <c:v>0.93399999999999994</c:v>
                </c:pt>
                <c:pt idx="85">
                  <c:v>0.81499999999999995</c:v>
                </c:pt>
                <c:pt idx="86">
                  <c:v>0.69599999999999995</c:v>
                </c:pt>
                <c:pt idx="87">
                  <c:v>0.57699999999999996</c:v>
                </c:pt>
                <c:pt idx="88">
                  <c:v>0.45799999999999996</c:v>
                </c:pt>
                <c:pt idx="89">
                  <c:v>0.33899999999999997</c:v>
                </c:pt>
                <c:pt idx="90">
                  <c:v>0.22</c:v>
                </c:pt>
              </c:numCache>
            </c:numRef>
          </c:yVal>
        </c:ser>
        <c:ser>
          <c:idx val="4"/>
          <c:order val="4"/>
          <c:tx>
            <c:strRef>
              <c:f>Estimator!$ET$38</c:f>
              <c:strCache>
                <c:ptCount val="1"/>
                <c:pt idx="0">
                  <c:v>Winter</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Estimator!$ET$39:$ET$129</c:f>
              <c:numCache>
                <c:formatCode>0.00</c:formatCode>
                <c:ptCount val="91"/>
                <c:pt idx="0">
                  <c:v>33.840000000000003</c:v>
                </c:pt>
                <c:pt idx="1">
                  <c:v>33.738</c:v>
                </c:pt>
                <c:pt idx="2">
                  <c:v>33.635999999999996</c:v>
                </c:pt>
                <c:pt idx="3">
                  <c:v>33.533999999999992</c:v>
                </c:pt>
                <c:pt idx="4">
                  <c:v>33.431999999999988</c:v>
                </c:pt>
                <c:pt idx="5">
                  <c:v>33.329999999999984</c:v>
                </c:pt>
                <c:pt idx="6">
                  <c:v>33.22799999999998</c:v>
                </c:pt>
                <c:pt idx="7">
                  <c:v>33.125999999999976</c:v>
                </c:pt>
                <c:pt idx="8">
                  <c:v>33.023999999999972</c:v>
                </c:pt>
                <c:pt idx="9">
                  <c:v>32.921999999999969</c:v>
                </c:pt>
                <c:pt idx="10">
                  <c:v>32.82</c:v>
                </c:pt>
                <c:pt idx="11">
                  <c:v>32.527999999999999</c:v>
                </c:pt>
                <c:pt idx="12">
                  <c:v>32.235999999999997</c:v>
                </c:pt>
                <c:pt idx="13">
                  <c:v>31.943999999999996</c:v>
                </c:pt>
                <c:pt idx="14">
                  <c:v>31.651999999999994</c:v>
                </c:pt>
                <c:pt idx="15">
                  <c:v>31.359999999999992</c:v>
                </c:pt>
                <c:pt idx="16">
                  <c:v>31.067999999999991</c:v>
                </c:pt>
                <c:pt idx="17">
                  <c:v>30.775999999999989</c:v>
                </c:pt>
                <c:pt idx="18">
                  <c:v>30.483999999999988</c:v>
                </c:pt>
                <c:pt idx="19">
                  <c:v>30.191999999999986</c:v>
                </c:pt>
                <c:pt idx="20">
                  <c:v>29.9</c:v>
                </c:pt>
                <c:pt idx="21">
                  <c:v>29.462</c:v>
                </c:pt>
                <c:pt idx="22">
                  <c:v>29.024000000000001</c:v>
                </c:pt>
                <c:pt idx="23">
                  <c:v>28.586000000000002</c:v>
                </c:pt>
                <c:pt idx="24">
                  <c:v>28.148000000000003</c:v>
                </c:pt>
                <c:pt idx="25">
                  <c:v>27.710000000000004</c:v>
                </c:pt>
                <c:pt idx="26">
                  <c:v>27.272000000000006</c:v>
                </c:pt>
                <c:pt idx="27">
                  <c:v>26.834000000000007</c:v>
                </c:pt>
                <c:pt idx="28">
                  <c:v>26.396000000000008</c:v>
                </c:pt>
                <c:pt idx="29">
                  <c:v>25.958000000000009</c:v>
                </c:pt>
                <c:pt idx="30">
                  <c:v>25.52</c:v>
                </c:pt>
                <c:pt idx="31">
                  <c:v>24.920999999999999</c:v>
                </c:pt>
                <c:pt idx="32">
                  <c:v>24.321999999999999</c:v>
                </c:pt>
                <c:pt idx="33">
                  <c:v>23.722999999999999</c:v>
                </c:pt>
                <c:pt idx="34">
                  <c:v>23.123999999999999</c:v>
                </c:pt>
                <c:pt idx="35">
                  <c:v>22.524999999999999</c:v>
                </c:pt>
                <c:pt idx="36">
                  <c:v>21.925999999999998</c:v>
                </c:pt>
                <c:pt idx="37">
                  <c:v>21.326999999999998</c:v>
                </c:pt>
                <c:pt idx="38">
                  <c:v>20.727999999999998</c:v>
                </c:pt>
                <c:pt idx="39">
                  <c:v>20.128999999999998</c:v>
                </c:pt>
                <c:pt idx="40">
                  <c:v>19.53</c:v>
                </c:pt>
                <c:pt idx="41">
                  <c:v>18.859000000000002</c:v>
                </c:pt>
                <c:pt idx="42">
                  <c:v>18.188000000000002</c:v>
                </c:pt>
                <c:pt idx="43">
                  <c:v>17.517000000000003</c:v>
                </c:pt>
                <c:pt idx="44">
                  <c:v>16.846000000000004</c:v>
                </c:pt>
                <c:pt idx="45">
                  <c:v>16.175000000000004</c:v>
                </c:pt>
                <c:pt idx="46">
                  <c:v>15.504000000000005</c:v>
                </c:pt>
                <c:pt idx="47">
                  <c:v>14.833000000000006</c:v>
                </c:pt>
                <c:pt idx="48">
                  <c:v>14.162000000000006</c:v>
                </c:pt>
                <c:pt idx="49">
                  <c:v>13.491000000000007</c:v>
                </c:pt>
                <c:pt idx="50">
                  <c:v>12.82</c:v>
                </c:pt>
                <c:pt idx="51">
                  <c:v>12.289</c:v>
                </c:pt>
                <c:pt idx="52">
                  <c:v>11.757999999999999</c:v>
                </c:pt>
                <c:pt idx="53">
                  <c:v>11.226999999999999</c:v>
                </c:pt>
                <c:pt idx="54">
                  <c:v>10.695999999999998</c:v>
                </c:pt>
                <c:pt idx="55">
                  <c:v>10.164999999999997</c:v>
                </c:pt>
                <c:pt idx="56">
                  <c:v>9.6339999999999968</c:v>
                </c:pt>
                <c:pt idx="57">
                  <c:v>9.1029999999999962</c:v>
                </c:pt>
                <c:pt idx="58">
                  <c:v>8.5719999999999956</c:v>
                </c:pt>
                <c:pt idx="59">
                  <c:v>8.040999999999995</c:v>
                </c:pt>
                <c:pt idx="60">
                  <c:v>7.51</c:v>
                </c:pt>
                <c:pt idx="61">
                  <c:v>7.1349999999999998</c:v>
                </c:pt>
                <c:pt idx="62">
                  <c:v>6.76</c:v>
                </c:pt>
                <c:pt idx="63">
                  <c:v>6.3849999999999998</c:v>
                </c:pt>
                <c:pt idx="64">
                  <c:v>6.01</c:v>
                </c:pt>
                <c:pt idx="65">
                  <c:v>5.6349999999999998</c:v>
                </c:pt>
                <c:pt idx="66">
                  <c:v>5.26</c:v>
                </c:pt>
                <c:pt idx="67">
                  <c:v>4.8849999999999998</c:v>
                </c:pt>
                <c:pt idx="68">
                  <c:v>4.51</c:v>
                </c:pt>
                <c:pt idx="69">
                  <c:v>4.1349999999999998</c:v>
                </c:pt>
                <c:pt idx="70">
                  <c:v>3.76</c:v>
                </c:pt>
                <c:pt idx="71">
                  <c:v>3.5069999999999997</c:v>
                </c:pt>
                <c:pt idx="72">
                  <c:v>3.2539999999999996</c:v>
                </c:pt>
                <c:pt idx="73">
                  <c:v>3.0009999999999994</c:v>
                </c:pt>
                <c:pt idx="74">
                  <c:v>2.7479999999999993</c:v>
                </c:pt>
                <c:pt idx="75">
                  <c:v>2.4949999999999992</c:v>
                </c:pt>
                <c:pt idx="76">
                  <c:v>2.2419999999999991</c:v>
                </c:pt>
                <c:pt idx="77">
                  <c:v>1.988999999999999</c:v>
                </c:pt>
                <c:pt idx="78">
                  <c:v>1.7359999999999989</c:v>
                </c:pt>
                <c:pt idx="79">
                  <c:v>1.4829999999999988</c:v>
                </c:pt>
                <c:pt idx="80">
                  <c:v>1.23</c:v>
                </c:pt>
                <c:pt idx="81">
                  <c:v>1.121</c:v>
                </c:pt>
                <c:pt idx="82">
                  <c:v>1.012</c:v>
                </c:pt>
                <c:pt idx="83">
                  <c:v>0.90300000000000002</c:v>
                </c:pt>
                <c:pt idx="84">
                  <c:v>0.79400000000000004</c:v>
                </c:pt>
                <c:pt idx="85">
                  <c:v>0.68500000000000005</c:v>
                </c:pt>
                <c:pt idx="86">
                  <c:v>0.57600000000000007</c:v>
                </c:pt>
                <c:pt idx="87">
                  <c:v>0.46700000000000008</c:v>
                </c:pt>
                <c:pt idx="88">
                  <c:v>0.3580000000000001</c:v>
                </c:pt>
                <c:pt idx="89">
                  <c:v>0.24900000000000011</c:v>
                </c:pt>
                <c:pt idx="90">
                  <c:v>0.14000000000000001</c:v>
                </c:pt>
              </c:numCache>
            </c:numRef>
          </c:yVal>
        </c:ser>
        <c:ser>
          <c:idx val="5"/>
          <c:order val="5"/>
          <c:tx>
            <c:strRef>
              <c:f>Estimator!$EU$38</c:f>
              <c:strCache>
                <c:ptCount val="1"/>
                <c:pt idx="0">
                  <c:v>Spring</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Estimator!$EU$39:$EU$129</c:f>
              <c:numCache>
                <c:formatCode>0.00</c:formatCode>
                <c:ptCount val="91"/>
                <c:pt idx="0">
                  <c:v>31.18</c:v>
                </c:pt>
                <c:pt idx="1">
                  <c:v>31.085000000000001</c:v>
                </c:pt>
                <c:pt idx="2">
                  <c:v>30.990000000000002</c:v>
                </c:pt>
                <c:pt idx="3">
                  <c:v>30.895000000000003</c:v>
                </c:pt>
                <c:pt idx="4">
                  <c:v>30.800000000000004</c:v>
                </c:pt>
                <c:pt idx="5">
                  <c:v>30.705000000000005</c:v>
                </c:pt>
                <c:pt idx="6">
                  <c:v>30.610000000000007</c:v>
                </c:pt>
                <c:pt idx="7">
                  <c:v>30.515000000000008</c:v>
                </c:pt>
                <c:pt idx="8">
                  <c:v>30.420000000000009</c:v>
                </c:pt>
                <c:pt idx="9">
                  <c:v>30.32500000000001</c:v>
                </c:pt>
                <c:pt idx="10">
                  <c:v>30.23</c:v>
                </c:pt>
                <c:pt idx="11">
                  <c:v>29.962</c:v>
                </c:pt>
                <c:pt idx="12">
                  <c:v>29.693999999999999</c:v>
                </c:pt>
                <c:pt idx="13">
                  <c:v>29.425999999999998</c:v>
                </c:pt>
                <c:pt idx="14">
                  <c:v>29.157999999999998</c:v>
                </c:pt>
                <c:pt idx="15">
                  <c:v>28.889999999999997</c:v>
                </c:pt>
                <c:pt idx="16">
                  <c:v>28.621999999999996</c:v>
                </c:pt>
                <c:pt idx="17">
                  <c:v>28.353999999999996</c:v>
                </c:pt>
                <c:pt idx="18">
                  <c:v>28.085999999999995</c:v>
                </c:pt>
                <c:pt idx="19">
                  <c:v>27.817999999999994</c:v>
                </c:pt>
                <c:pt idx="20">
                  <c:v>27.55</c:v>
                </c:pt>
                <c:pt idx="21">
                  <c:v>27.148</c:v>
                </c:pt>
                <c:pt idx="22">
                  <c:v>26.745999999999999</c:v>
                </c:pt>
                <c:pt idx="23">
                  <c:v>26.343999999999998</c:v>
                </c:pt>
                <c:pt idx="24">
                  <c:v>25.941999999999997</c:v>
                </c:pt>
                <c:pt idx="25">
                  <c:v>25.539999999999996</c:v>
                </c:pt>
                <c:pt idx="26">
                  <c:v>25.137999999999995</c:v>
                </c:pt>
                <c:pt idx="27">
                  <c:v>24.735999999999994</c:v>
                </c:pt>
                <c:pt idx="28">
                  <c:v>24.333999999999993</c:v>
                </c:pt>
                <c:pt idx="29">
                  <c:v>23.931999999999992</c:v>
                </c:pt>
                <c:pt idx="30">
                  <c:v>23.53</c:v>
                </c:pt>
                <c:pt idx="31">
                  <c:v>22.98</c:v>
                </c:pt>
                <c:pt idx="32">
                  <c:v>22.43</c:v>
                </c:pt>
                <c:pt idx="33">
                  <c:v>21.88</c:v>
                </c:pt>
                <c:pt idx="34">
                  <c:v>21.33</c:v>
                </c:pt>
                <c:pt idx="35">
                  <c:v>20.779999999999998</c:v>
                </c:pt>
                <c:pt idx="36">
                  <c:v>20.229999999999997</c:v>
                </c:pt>
                <c:pt idx="37">
                  <c:v>19.679999999999996</c:v>
                </c:pt>
                <c:pt idx="38">
                  <c:v>19.129999999999995</c:v>
                </c:pt>
                <c:pt idx="39">
                  <c:v>18.579999999999995</c:v>
                </c:pt>
                <c:pt idx="40">
                  <c:v>18.03</c:v>
                </c:pt>
                <c:pt idx="41">
                  <c:v>17.415000000000003</c:v>
                </c:pt>
                <c:pt idx="42">
                  <c:v>16.800000000000004</c:v>
                </c:pt>
                <c:pt idx="43">
                  <c:v>16.185000000000006</c:v>
                </c:pt>
                <c:pt idx="44">
                  <c:v>15.570000000000006</c:v>
                </c:pt>
                <c:pt idx="45">
                  <c:v>14.955000000000005</c:v>
                </c:pt>
                <c:pt idx="46">
                  <c:v>14.340000000000005</c:v>
                </c:pt>
                <c:pt idx="47">
                  <c:v>13.725000000000005</c:v>
                </c:pt>
                <c:pt idx="48">
                  <c:v>13.110000000000005</c:v>
                </c:pt>
                <c:pt idx="49">
                  <c:v>12.495000000000005</c:v>
                </c:pt>
                <c:pt idx="50">
                  <c:v>11.88</c:v>
                </c:pt>
                <c:pt idx="51">
                  <c:v>11.393000000000001</c:v>
                </c:pt>
                <c:pt idx="52">
                  <c:v>10.906000000000001</c:v>
                </c:pt>
                <c:pt idx="53">
                  <c:v>10.419</c:v>
                </c:pt>
                <c:pt idx="54">
                  <c:v>9.9320000000000004</c:v>
                </c:pt>
                <c:pt idx="55">
                  <c:v>9.4450000000000003</c:v>
                </c:pt>
                <c:pt idx="56">
                  <c:v>8.9580000000000002</c:v>
                </c:pt>
                <c:pt idx="57">
                  <c:v>8.4710000000000001</c:v>
                </c:pt>
                <c:pt idx="58">
                  <c:v>7.984</c:v>
                </c:pt>
                <c:pt idx="59">
                  <c:v>7.4969999999999999</c:v>
                </c:pt>
                <c:pt idx="60">
                  <c:v>7.01</c:v>
                </c:pt>
                <c:pt idx="61">
                  <c:v>6.6669999999999998</c:v>
                </c:pt>
                <c:pt idx="62">
                  <c:v>6.3239999999999998</c:v>
                </c:pt>
                <c:pt idx="63">
                  <c:v>5.9809999999999999</c:v>
                </c:pt>
                <c:pt idx="64">
                  <c:v>5.6379999999999999</c:v>
                </c:pt>
                <c:pt idx="65">
                  <c:v>5.2949999999999999</c:v>
                </c:pt>
                <c:pt idx="66">
                  <c:v>4.952</c:v>
                </c:pt>
                <c:pt idx="67">
                  <c:v>4.609</c:v>
                </c:pt>
                <c:pt idx="68">
                  <c:v>4.266</c:v>
                </c:pt>
                <c:pt idx="69">
                  <c:v>3.923</c:v>
                </c:pt>
                <c:pt idx="70">
                  <c:v>3.58</c:v>
                </c:pt>
                <c:pt idx="71">
                  <c:v>3.3570000000000002</c:v>
                </c:pt>
                <c:pt idx="72">
                  <c:v>3.1340000000000003</c:v>
                </c:pt>
                <c:pt idx="73">
                  <c:v>2.9110000000000005</c:v>
                </c:pt>
                <c:pt idx="74">
                  <c:v>2.6880000000000006</c:v>
                </c:pt>
                <c:pt idx="75">
                  <c:v>2.4650000000000007</c:v>
                </c:pt>
                <c:pt idx="76">
                  <c:v>2.2420000000000009</c:v>
                </c:pt>
                <c:pt idx="77">
                  <c:v>2.019000000000001</c:v>
                </c:pt>
                <c:pt idx="78">
                  <c:v>1.7960000000000009</c:v>
                </c:pt>
                <c:pt idx="79">
                  <c:v>1.5730000000000008</c:v>
                </c:pt>
                <c:pt idx="80">
                  <c:v>1.35</c:v>
                </c:pt>
                <c:pt idx="81">
                  <c:v>1.242</c:v>
                </c:pt>
                <c:pt idx="82">
                  <c:v>1.1339999999999999</c:v>
                </c:pt>
                <c:pt idx="83">
                  <c:v>1.0259999999999998</c:v>
                </c:pt>
                <c:pt idx="84">
                  <c:v>0.91799999999999982</c:v>
                </c:pt>
                <c:pt idx="85">
                  <c:v>0.80999999999999983</c:v>
                </c:pt>
                <c:pt idx="86">
                  <c:v>0.70199999999999985</c:v>
                </c:pt>
                <c:pt idx="87">
                  <c:v>0.59399999999999986</c:v>
                </c:pt>
                <c:pt idx="88">
                  <c:v>0.48599999999999988</c:v>
                </c:pt>
                <c:pt idx="89">
                  <c:v>0.37799999999999989</c:v>
                </c:pt>
                <c:pt idx="90">
                  <c:v>0.27</c:v>
                </c:pt>
              </c:numCache>
            </c:numRef>
          </c:yVal>
        </c:ser>
        <c:ser>
          <c:idx val="6"/>
          <c:order val="6"/>
          <c:tx>
            <c:strRef>
              <c:f>Estimator!$EV$38</c:f>
              <c:strCache>
                <c:ptCount val="1"/>
                <c:pt idx="0">
                  <c:v>Summer</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Estimator!$EV$39:$EV$129</c:f>
              <c:numCache>
                <c:formatCode>0.00</c:formatCode>
                <c:ptCount val="91"/>
                <c:pt idx="0">
                  <c:v>30.85</c:v>
                </c:pt>
                <c:pt idx="1">
                  <c:v>30.756</c:v>
                </c:pt>
                <c:pt idx="2">
                  <c:v>30.661999999999999</c:v>
                </c:pt>
                <c:pt idx="3">
                  <c:v>30.567999999999998</c:v>
                </c:pt>
                <c:pt idx="4">
                  <c:v>30.473999999999997</c:v>
                </c:pt>
                <c:pt idx="5">
                  <c:v>30.379999999999995</c:v>
                </c:pt>
                <c:pt idx="6">
                  <c:v>30.285999999999994</c:v>
                </c:pt>
                <c:pt idx="7">
                  <c:v>30.191999999999993</c:v>
                </c:pt>
                <c:pt idx="8">
                  <c:v>30.097999999999992</c:v>
                </c:pt>
                <c:pt idx="9">
                  <c:v>30.003999999999991</c:v>
                </c:pt>
                <c:pt idx="10">
                  <c:v>29.91</c:v>
                </c:pt>
                <c:pt idx="11">
                  <c:v>29.645</c:v>
                </c:pt>
                <c:pt idx="12">
                  <c:v>29.38</c:v>
                </c:pt>
                <c:pt idx="13">
                  <c:v>29.114999999999998</c:v>
                </c:pt>
                <c:pt idx="14">
                  <c:v>28.849999999999998</c:v>
                </c:pt>
                <c:pt idx="15">
                  <c:v>28.584999999999997</c:v>
                </c:pt>
                <c:pt idx="16">
                  <c:v>28.319999999999997</c:v>
                </c:pt>
                <c:pt idx="17">
                  <c:v>28.054999999999996</c:v>
                </c:pt>
                <c:pt idx="18">
                  <c:v>27.789999999999996</c:v>
                </c:pt>
                <c:pt idx="19">
                  <c:v>27.524999999999995</c:v>
                </c:pt>
                <c:pt idx="20">
                  <c:v>27.26</c:v>
                </c:pt>
                <c:pt idx="21">
                  <c:v>26.862000000000002</c:v>
                </c:pt>
                <c:pt idx="22">
                  <c:v>26.464000000000002</c:v>
                </c:pt>
                <c:pt idx="23">
                  <c:v>26.066000000000003</c:v>
                </c:pt>
                <c:pt idx="24">
                  <c:v>25.668000000000003</c:v>
                </c:pt>
                <c:pt idx="25">
                  <c:v>25.270000000000003</c:v>
                </c:pt>
                <c:pt idx="26">
                  <c:v>24.872000000000003</c:v>
                </c:pt>
                <c:pt idx="27">
                  <c:v>24.474000000000004</c:v>
                </c:pt>
                <c:pt idx="28">
                  <c:v>24.076000000000004</c:v>
                </c:pt>
                <c:pt idx="29">
                  <c:v>23.678000000000004</c:v>
                </c:pt>
                <c:pt idx="30">
                  <c:v>23.28</c:v>
                </c:pt>
                <c:pt idx="31">
                  <c:v>22.736000000000001</c:v>
                </c:pt>
                <c:pt idx="32">
                  <c:v>22.192</c:v>
                </c:pt>
                <c:pt idx="33">
                  <c:v>21.648</c:v>
                </c:pt>
                <c:pt idx="34">
                  <c:v>21.103999999999999</c:v>
                </c:pt>
                <c:pt idx="35">
                  <c:v>20.56</c:v>
                </c:pt>
                <c:pt idx="36">
                  <c:v>20.015999999999998</c:v>
                </c:pt>
                <c:pt idx="37">
                  <c:v>19.471999999999998</c:v>
                </c:pt>
                <c:pt idx="38">
                  <c:v>18.927999999999997</c:v>
                </c:pt>
                <c:pt idx="39">
                  <c:v>18.383999999999997</c:v>
                </c:pt>
                <c:pt idx="40">
                  <c:v>17.84</c:v>
                </c:pt>
                <c:pt idx="41">
                  <c:v>17.231000000000002</c:v>
                </c:pt>
                <c:pt idx="42">
                  <c:v>16.622</c:v>
                </c:pt>
                <c:pt idx="43">
                  <c:v>16.012999999999998</c:v>
                </c:pt>
                <c:pt idx="44">
                  <c:v>15.403999999999998</c:v>
                </c:pt>
                <c:pt idx="45">
                  <c:v>14.794999999999998</c:v>
                </c:pt>
                <c:pt idx="46">
                  <c:v>14.185999999999998</c:v>
                </c:pt>
                <c:pt idx="47">
                  <c:v>13.576999999999998</c:v>
                </c:pt>
                <c:pt idx="48">
                  <c:v>12.967999999999998</c:v>
                </c:pt>
                <c:pt idx="49">
                  <c:v>12.358999999999998</c:v>
                </c:pt>
                <c:pt idx="50">
                  <c:v>11.75</c:v>
                </c:pt>
                <c:pt idx="51">
                  <c:v>11.269</c:v>
                </c:pt>
                <c:pt idx="52">
                  <c:v>10.788</c:v>
                </c:pt>
                <c:pt idx="53">
                  <c:v>10.307</c:v>
                </c:pt>
                <c:pt idx="54">
                  <c:v>9.8260000000000005</c:v>
                </c:pt>
                <c:pt idx="55">
                  <c:v>9.3450000000000006</c:v>
                </c:pt>
                <c:pt idx="56">
                  <c:v>8.8640000000000008</c:v>
                </c:pt>
                <c:pt idx="57">
                  <c:v>8.3830000000000009</c:v>
                </c:pt>
                <c:pt idx="58">
                  <c:v>7.902000000000001</c:v>
                </c:pt>
                <c:pt idx="59">
                  <c:v>7.4210000000000012</c:v>
                </c:pt>
                <c:pt idx="60">
                  <c:v>6.94</c:v>
                </c:pt>
                <c:pt idx="61">
                  <c:v>6.6000000000000005</c:v>
                </c:pt>
                <c:pt idx="62">
                  <c:v>6.2600000000000007</c:v>
                </c:pt>
                <c:pt idx="63">
                  <c:v>5.9200000000000008</c:v>
                </c:pt>
                <c:pt idx="64">
                  <c:v>5.580000000000001</c:v>
                </c:pt>
                <c:pt idx="65">
                  <c:v>5.2400000000000011</c:v>
                </c:pt>
                <c:pt idx="66">
                  <c:v>4.9000000000000012</c:v>
                </c:pt>
                <c:pt idx="67">
                  <c:v>4.5600000000000014</c:v>
                </c:pt>
                <c:pt idx="68">
                  <c:v>4.2200000000000015</c:v>
                </c:pt>
                <c:pt idx="69">
                  <c:v>3.8800000000000017</c:v>
                </c:pt>
                <c:pt idx="70">
                  <c:v>3.54</c:v>
                </c:pt>
                <c:pt idx="71">
                  <c:v>3.32</c:v>
                </c:pt>
                <c:pt idx="72">
                  <c:v>3.0999999999999996</c:v>
                </c:pt>
                <c:pt idx="73">
                  <c:v>2.8799999999999994</c:v>
                </c:pt>
                <c:pt idx="74">
                  <c:v>2.6599999999999993</c:v>
                </c:pt>
                <c:pt idx="75">
                  <c:v>2.4399999999999991</c:v>
                </c:pt>
                <c:pt idx="76">
                  <c:v>2.2199999999999989</c:v>
                </c:pt>
                <c:pt idx="77">
                  <c:v>1.9999999999999989</c:v>
                </c:pt>
                <c:pt idx="78">
                  <c:v>1.7799999999999989</c:v>
                </c:pt>
                <c:pt idx="79">
                  <c:v>1.5599999999999989</c:v>
                </c:pt>
                <c:pt idx="80">
                  <c:v>1.34</c:v>
                </c:pt>
                <c:pt idx="81">
                  <c:v>1.2330000000000001</c:v>
                </c:pt>
                <c:pt idx="82">
                  <c:v>1.1260000000000001</c:v>
                </c:pt>
                <c:pt idx="83">
                  <c:v>1.0190000000000001</c:v>
                </c:pt>
                <c:pt idx="84">
                  <c:v>0.91200000000000014</c:v>
                </c:pt>
                <c:pt idx="85">
                  <c:v>0.80500000000000016</c:v>
                </c:pt>
                <c:pt idx="86">
                  <c:v>0.69800000000000018</c:v>
                </c:pt>
                <c:pt idx="87">
                  <c:v>0.59100000000000019</c:v>
                </c:pt>
                <c:pt idx="88">
                  <c:v>0.48400000000000021</c:v>
                </c:pt>
                <c:pt idx="89">
                  <c:v>0.37700000000000022</c:v>
                </c:pt>
                <c:pt idx="90">
                  <c:v>0.27</c:v>
                </c:pt>
              </c:numCache>
            </c:numRef>
          </c:yVal>
        </c:ser>
        <c:ser>
          <c:idx val="7"/>
          <c:order val="7"/>
          <c:tx>
            <c:strRef>
              <c:f>Estimator!$EW$38</c:f>
              <c:strCache>
                <c:ptCount val="1"/>
                <c:pt idx="0">
                  <c:v>Fall</c:v>
                </c:pt>
              </c:strCache>
            </c:strRef>
          </c:tx>
          <c:marker>
            <c:symbol val="none"/>
          </c:marker>
          <c:xVal>
            <c:numRef>
              <c:f>Estimator!$EO$39:$EO$129</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Estimator!$EW$39:$EW$129</c:f>
              <c:numCache>
                <c:formatCode>0.00</c:formatCode>
                <c:ptCount val="91"/>
                <c:pt idx="0">
                  <c:v>33.43</c:v>
                </c:pt>
                <c:pt idx="1">
                  <c:v>33.329000000000001</c:v>
                </c:pt>
                <c:pt idx="2">
                  <c:v>33.228000000000002</c:v>
                </c:pt>
                <c:pt idx="3">
                  <c:v>33.127000000000002</c:v>
                </c:pt>
                <c:pt idx="4">
                  <c:v>33.026000000000003</c:v>
                </c:pt>
                <c:pt idx="5">
                  <c:v>32.925000000000004</c:v>
                </c:pt>
                <c:pt idx="6">
                  <c:v>32.824000000000005</c:v>
                </c:pt>
                <c:pt idx="7">
                  <c:v>32.723000000000006</c:v>
                </c:pt>
                <c:pt idx="8">
                  <c:v>32.622000000000007</c:v>
                </c:pt>
                <c:pt idx="9">
                  <c:v>32.521000000000008</c:v>
                </c:pt>
                <c:pt idx="10">
                  <c:v>32.42</c:v>
                </c:pt>
                <c:pt idx="11">
                  <c:v>32.132000000000005</c:v>
                </c:pt>
                <c:pt idx="12">
                  <c:v>31.844000000000005</c:v>
                </c:pt>
                <c:pt idx="13">
                  <c:v>31.556000000000004</c:v>
                </c:pt>
                <c:pt idx="14">
                  <c:v>31.268000000000004</c:v>
                </c:pt>
                <c:pt idx="15">
                  <c:v>30.980000000000004</c:v>
                </c:pt>
                <c:pt idx="16">
                  <c:v>30.692000000000004</c:v>
                </c:pt>
                <c:pt idx="17">
                  <c:v>30.404000000000003</c:v>
                </c:pt>
                <c:pt idx="18">
                  <c:v>30.116000000000003</c:v>
                </c:pt>
                <c:pt idx="19">
                  <c:v>29.828000000000003</c:v>
                </c:pt>
                <c:pt idx="20">
                  <c:v>29.54</c:v>
                </c:pt>
                <c:pt idx="21">
                  <c:v>29.106999999999999</c:v>
                </c:pt>
                <c:pt idx="22">
                  <c:v>28.673999999999999</c:v>
                </c:pt>
                <c:pt idx="23">
                  <c:v>28.241</c:v>
                </c:pt>
                <c:pt idx="24">
                  <c:v>27.808</c:v>
                </c:pt>
                <c:pt idx="25">
                  <c:v>27.375</c:v>
                </c:pt>
                <c:pt idx="26">
                  <c:v>26.942</c:v>
                </c:pt>
                <c:pt idx="27">
                  <c:v>26.509</c:v>
                </c:pt>
                <c:pt idx="28">
                  <c:v>26.076000000000001</c:v>
                </c:pt>
                <c:pt idx="29">
                  <c:v>25.643000000000001</c:v>
                </c:pt>
                <c:pt idx="30">
                  <c:v>25.21</c:v>
                </c:pt>
                <c:pt idx="31">
                  <c:v>24.619</c:v>
                </c:pt>
                <c:pt idx="32">
                  <c:v>24.027999999999999</c:v>
                </c:pt>
                <c:pt idx="33">
                  <c:v>23.436999999999998</c:v>
                </c:pt>
                <c:pt idx="34">
                  <c:v>22.845999999999997</c:v>
                </c:pt>
                <c:pt idx="35">
                  <c:v>22.254999999999995</c:v>
                </c:pt>
                <c:pt idx="36">
                  <c:v>21.663999999999994</c:v>
                </c:pt>
                <c:pt idx="37">
                  <c:v>21.072999999999993</c:v>
                </c:pt>
                <c:pt idx="38">
                  <c:v>20.481999999999992</c:v>
                </c:pt>
                <c:pt idx="39">
                  <c:v>19.890999999999991</c:v>
                </c:pt>
                <c:pt idx="40">
                  <c:v>19.3</c:v>
                </c:pt>
                <c:pt idx="41">
                  <c:v>18.637</c:v>
                </c:pt>
                <c:pt idx="42">
                  <c:v>17.974</c:v>
                </c:pt>
                <c:pt idx="43">
                  <c:v>17.311</c:v>
                </c:pt>
                <c:pt idx="44">
                  <c:v>16.648</c:v>
                </c:pt>
                <c:pt idx="45">
                  <c:v>15.984999999999999</c:v>
                </c:pt>
                <c:pt idx="46">
                  <c:v>15.321999999999999</c:v>
                </c:pt>
                <c:pt idx="47">
                  <c:v>14.658999999999999</c:v>
                </c:pt>
                <c:pt idx="48">
                  <c:v>13.995999999999999</c:v>
                </c:pt>
                <c:pt idx="49">
                  <c:v>13.332999999999998</c:v>
                </c:pt>
                <c:pt idx="50">
                  <c:v>12.67</c:v>
                </c:pt>
                <c:pt idx="51">
                  <c:v>12.145</c:v>
                </c:pt>
                <c:pt idx="52">
                  <c:v>11.62</c:v>
                </c:pt>
                <c:pt idx="53">
                  <c:v>11.094999999999999</c:v>
                </c:pt>
                <c:pt idx="54">
                  <c:v>10.569999999999999</c:v>
                </c:pt>
                <c:pt idx="55">
                  <c:v>10.044999999999998</c:v>
                </c:pt>
                <c:pt idx="56">
                  <c:v>9.5199999999999978</c:v>
                </c:pt>
                <c:pt idx="57">
                  <c:v>8.9949999999999974</c:v>
                </c:pt>
                <c:pt idx="58">
                  <c:v>8.4699999999999971</c:v>
                </c:pt>
                <c:pt idx="59">
                  <c:v>7.9449999999999967</c:v>
                </c:pt>
                <c:pt idx="60">
                  <c:v>7.42</c:v>
                </c:pt>
                <c:pt idx="61">
                  <c:v>7.0489999999999995</c:v>
                </c:pt>
                <c:pt idx="62">
                  <c:v>6.677999999999999</c:v>
                </c:pt>
                <c:pt idx="63">
                  <c:v>6.3069999999999986</c:v>
                </c:pt>
                <c:pt idx="64">
                  <c:v>5.9359999999999982</c:v>
                </c:pt>
                <c:pt idx="65">
                  <c:v>5.5649999999999977</c:v>
                </c:pt>
                <c:pt idx="66">
                  <c:v>5.1939999999999973</c:v>
                </c:pt>
                <c:pt idx="67">
                  <c:v>4.8229999999999968</c:v>
                </c:pt>
                <c:pt idx="68">
                  <c:v>4.4519999999999964</c:v>
                </c:pt>
                <c:pt idx="69">
                  <c:v>4.080999999999996</c:v>
                </c:pt>
                <c:pt idx="70">
                  <c:v>3.71</c:v>
                </c:pt>
                <c:pt idx="71">
                  <c:v>3.4689999999999999</c:v>
                </c:pt>
                <c:pt idx="72">
                  <c:v>3.2279999999999998</c:v>
                </c:pt>
                <c:pt idx="73">
                  <c:v>2.9869999999999997</c:v>
                </c:pt>
                <c:pt idx="74">
                  <c:v>2.7459999999999996</c:v>
                </c:pt>
                <c:pt idx="75">
                  <c:v>2.5049999999999994</c:v>
                </c:pt>
                <c:pt idx="76">
                  <c:v>2.2639999999999993</c:v>
                </c:pt>
                <c:pt idx="77">
                  <c:v>2.0229999999999992</c:v>
                </c:pt>
                <c:pt idx="78">
                  <c:v>1.7819999999999991</c:v>
                </c:pt>
                <c:pt idx="79">
                  <c:v>1.540999999999999</c:v>
                </c:pt>
                <c:pt idx="80">
                  <c:v>1.3</c:v>
                </c:pt>
                <c:pt idx="81">
                  <c:v>1.1839999999999999</c:v>
                </c:pt>
                <c:pt idx="82">
                  <c:v>1.0679999999999998</c:v>
                </c:pt>
                <c:pt idx="83">
                  <c:v>0.95199999999999985</c:v>
                </c:pt>
                <c:pt idx="84">
                  <c:v>0.83599999999999985</c:v>
                </c:pt>
                <c:pt idx="85">
                  <c:v>0.71999999999999986</c:v>
                </c:pt>
                <c:pt idx="86">
                  <c:v>0.60399999999999987</c:v>
                </c:pt>
                <c:pt idx="87">
                  <c:v>0.48799999999999988</c:v>
                </c:pt>
                <c:pt idx="88">
                  <c:v>0.37199999999999989</c:v>
                </c:pt>
                <c:pt idx="89">
                  <c:v>0.25599999999999989</c:v>
                </c:pt>
                <c:pt idx="90">
                  <c:v>0.14000000000000001</c:v>
                </c:pt>
              </c:numCache>
            </c:numRef>
          </c:yVal>
        </c:ser>
        <c:axId val="166146048"/>
        <c:axId val="166147968"/>
      </c:scatterChart>
      <c:valAx>
        <c:axId val="166146048"/>
        <c:scaling>
          <c:orientation val="minMax"/>
          <c:max val="90"/>
        </c:scaling>
        <c:axPos val="b"/>
        <c:majorGridlines/>
        <c:title>
          <c:tx>
            <c:rich>
              <a:bodyPr/>
              <a:lstStyle/>
              <a:p>
                <a:pPr>
                  <a:defRPr/>
                </a:pPr>
                <a:r>
                  <a:rPr lang="en-US"/>
                  <a:t>Zenith (deg)</a:t>
                </a:r>
              </a:p>
            </c:rich>
          </c:tx>
        </c:title>
        <c:numFmt formatCode="General" sourceLinked="1"/>
        <c:minorTickMark val="out"/>
        <c:tickLblPos val="nextTo"/>
        <c:crossAx val="166147968"/>
        <c:crosses val="autoZero"/>
        <c:crossBetween val="midCat"/>
        <c:majorUnit val="10"/>
        <c:minorUnit val="5"/>
      </c:valAx>
      <c:valAx>
        <c:axId val="166147968"/>
        <c:scaling>
          <c:orientation val="minMax"/>
        </c:scaling>
        <c:axPos val="l"/>
        <c:majorGridlines/>
        <c:title>
          <c:tx>
            <c:rich>
              <a:bodyPr/>
              <a:lstStyle/>
              <a:p>
                <a:pPr>
                  <a:defRPr/>
                </a:pPr>
                <a:r>
                  <a:rPr lang="en-US"/>
                  <a:t>Radiance (W/(sr-m^2))</a:t>
                </a:r>
              </a:p>
            </c:rich>
          </c:tx>
        </c:title>
        <c:numFmt formatCode="0" sourceLinked="0"/>
        <c:majorTickMark val="none"/>
        <c:tickLblPos val="nextTo"/>
        <c:crossAx val="166146048"/>
        <c:crosses val="autoZero"/>
        <c:crossBetween val="midCat"/>
      </c:valAx>
    </c:plotArea>
    <c:legend>
      <c:legendPos val="r"/>
    </c:legend>
    <c:plotVisOnly val="1"/>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aseline="0"/>
              <a:t>Spring, Eastern</a:t>
            </a:r>
            <a:endParaRPr lang="en-US"/>
          </a:p>
        </c:rich>
      </c:tx>
    </c:title>
    <c:plotArea>
      <c:layout/>
      <c:scatterChart>
        <c:scatterStyle val="lineMarker"/>
        <c:ser>
          <c:idx val="0"/>
          <c:order val="0"/>
          <c:tx>
            <c:strRef>
              <c:f>Estimator!$AP$69</c:f>
              <c:strCache>
                <c:ptCount val="1"/>
                <c:pt idx="0">
                  <c:v>AZ 25</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Estimator!$AP$70:$AP$93</c:f>
              <c:numCache>
                <c:formatCode>0.00</c:formatCode>
                <c:ptCount val="24"/>
                <c:pt idx="0">
                  <c:v>4.45</c:v>
                </c:pt>
                <c:pt idx="1">
                  <c:v>24.5</c:v>
                </c:pt>
                <c:pt idx="2">
                  <c:v>40.770000000000003</c:v>
                </c:pt>
                <c:pt idx="3">
                  <c:v>53.04</c:v>
                </c:pt>
                <c:pt idx="4">
                  <c:v>62.37</c:v>
                </c:pt>
                <c:pt idx="5">
                  <c:v>69.8</c:v>
                </c:pt>
                <c:pt idx="6">
                  <c:v>76.099999999999994</c:v>
                </c:pt>
                <c:pt idx="7">
                  <c:v>81.87</c:v>
                </c:pt>
                <c:pt idx="8">
                  <c:v>87.7</c:v>
                </c:pt>
                <c:pt idx="9">
                  <c:v>94.49</c:v>
                </c:pt>
                <c:pt idx="10">
                  <c:v>104.43</c:v>
                </c:pt>
                <c:pt idx="11">
                  <c:v>126.79</c:v>
                </c:pt>
                <c:pt idx="12">
                  <c:v>198.72</c:v>
                </c:pt>
                <c:pt idx="13">
                  <c:v>245.67</c:v>
                </c:pt>
                <c:pt idx="14">
                  <c:v>260.5</c:v>
                </c:pt>
                <c:pt idx="15">
                  <c:v>268.66000000000003</c:v>
                </c:pt>
                <c:pt idx="16">
                  <c:v>274.89999999999998</c:v>
                </c:pt>
                <c:pt idx="17">
                  <c:v>280.63</c:v>
                </c:pt>
                <c:pt idx="18">
                  <c:v>286.57</c:v>
                </c:pt>
                <c:pt idx="19">
                  <c:v>293.02999999999997</c:v>
                </c:pt>
                <c:pt idx="20">
                  <c:v>301.17</c:v>
                </c:pt>
                <c:pt idx="21">
                  <c:v>306.04000000000002</c:v>
                </c:pt>
                <c:pt idx="22">
                  <c:v>325.49</c:v>
                </c:pt>
                <c:pt idx="23">
                  <c:v>343.53</c:v>
                </c:pt>
              </c:numCache>
            </c:numRef>
          </c:yVal>
        </c:ser>
        <c:ser>
          <c:idx val="1"/>
          <c:order val="1"/>
          <c:tx>
            <c:strRef>
              <c:f>Estimator!$AQ$69</c:f>
              <c:strCache>
                <c:ptCount val="1"/>
                <c:pt idx="0">
                  <c:v>ZEN 25</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Estimator!$AQ$70:$AQ$93</c:f>
              <c:numCache>
                <c:formatCode>0.00</c:formatCode>
                <c:ptCount val="24"/>
                <c:pt idx="0">
                  <c:v>137.43</c:v>
                </c:pt>
                <c:pt idx="1">
                  <c:v>134.01</c:v>
                </c:pt>
                <c:pt idx="2">
                  <c:v>126.61</c:v>
                </c:pt>
                <c:pt idx="3">
                  <c:v>116.82</c:v>
                </c:pt>
                <c:pt idx="4">
                  <c:v>105.36</c:v>
                </c:pt>
                <c:pt idx="5">
                  <c:v>93.08</c:v>
                </c:pt>
                <c:pt idx="6">
                  <c:v>80.069999999999993</c:v>
                </c:pt>
                <c:pt idx="7">
                  <c:v>66.81</c:v>
                </c:pt>
                <c:pt idx="8">
                  <c:v>53.38</c:v>
                </c:pt>
                <c:pt idx="9">
                  <c:v>40.1</c:v>
                </c:pt>
                <c:pt idx="10">
                  <c:v>26.52</c:v>
                </c:pt>
                <c:pt idx="11">
                  <c:v>14.21</c:v>
                </c:pt>
                <c:pt idx="12">
                  <c:v>9.44</c:v>
                </c:pt>
                <c:pt idx="13">
                  <c:v>19.100000000000001</c:v>
                </c:pt>
                <c:pt idx="14">
                  <c:v>32.07</c:v>
                </c:pt>
                <c:pt idx="15">
                  <c:v>45.49</c:v>
                </c:pt>
                <c:pt idx="16">
                  <c:v>59.01</c:v>
                </c:pt>
                <c:pt idx="17">
                  <c:v>72.7</c:v>
                </c:pt>
                <c:pt idx="18">
                  <c:v>85.54</c:v>
                </c:pt>
                <c:pt idx="19">
                  <c:v>98.31</c:v>
                </c:pt>
                <c:pt idx="20">
                  <c:v>110.48</c:v>
                </c:pt>
                <c:pt idx="21">
                  <c:v>115.96</c:v>
                </c:pt>
                <c:pt idx="22">
                  <c:v>130.22</c:v>
                </c:pt>
                <c:pt idx="23">
                  <c:v>136.13</c:v>
                </c:pt>
              </c:numCache>
            </c:numRef>
          </c:yVal>
        </c:ser>
        <c:ser>
          <c:idx val="2"/>
          <c:order val="2"/>
          <c:tx>
            <c:strRef>
              <c:f>Estimator!$AR$69</c:f>
              <c:strCache>
                <c:ptCount val="1"/>
                <c:pt idx="0">
                  <c:v>AZ 30</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Estimator!$AR$70:$AR$93</c:f>
              <c:numCache>
                <c:formatCode>0.00</c:formatCode>
                <c:ptCount val="24"/>
                <c:pt idx="0">
                  <c:v>2.19</c:v>
                </c:pt>
                <c:pt idx="1">
                  <c:v>21.12</c:v>
                </c:pt>
                <c:pt idx="2">
                  <c:v>37.32</c:v>
                </c:pt>
                <c:pt idx="3">
                  <c:v>50.22</c:v>
                </c:pt>
                <c:pt idx="4">
                  <c:v>60.45</c:v>
                </c:pt>
                <c:pt idx="5">
                  <c:v>68.88</c:v>
                </c:pt>
                <c:pt idx="6">
                  <c:v>76.239999999999995</c:v>
                </c:pt>
                <c:pt idx="7">
                  <c:v>83.17</c:v>
                </c:pt>
                <c:pt idx="8">
                  <c:v>90.37</c:v>
                </c:pt>
                <c:pt idx="9">
                  <c:v>98.91</c:v>
                </c:pt>
                <c:pt idx="10">
                  <c:v>111.26</c:v>
                </c:pt>
                <c:pt idx="11">
                  <c:v>135.11000000000001</c:v>
                </c:pt>
                <c:pt idx="12">
                  <c:v>186.85</c:v>
                </c:pt>
                <c:pt idx="13">
                  <c:v>232.14</c:v>
                </c:pt>
                <c:pt idx="14">
                  <c:v>252.17</c:v>
                </c:pt>
                <c:pt idx="15">
                  <c:v>263.3</c:v>
                </c:pt>
                <c:pt idx="16">
                  <c:v>271.41000000000003</c:v>
                </c:pt>
                <c:pt idx="17">
                  <c:v>278.49</c:v>
                </c:pt>
                <c:pt idx="18">
                  <c:v>285.47000000000003</c:v>
                </c:pt>
                <c:pt idx="19">
                  <c:v>292.79000000000002</c:v>
                </c:pt>
                <c:pt idx="20">
                  <c:v>301.57</c:v>
                </c:pt>
                <c:pt idx="21">
                  <c:v>306.66000000000003</c:v>
                </c:pt>
                <c:pt idx="22">
                  <c:v>325.98</c:v>
                </c:pt>
                <c:pt idx="23">
                  <c:v>342.92</c:v>
                </c:pt>
              </c:numCache>
            </c:numRef>
          </c:yVal>
        </c:ser>
        <c:ser>
          <c:idx val="3"/>
          <c:order val="3"/>
          <c:tx>
            <c:strRef>
              <c:f>Estimator!$AS$69</c:f>
              <c:strCache>
                <c:ptCount val="1"/>
                <c:pt idx="0">
                  <c:v>ZEN 30</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Estimator!$AS$70:$AS$93</c:f>
              <c:numCache>
                <c:formatCode>0.00</c:formatCode>
                <c:ptCount val="24"/>
                <c:pt idx="0">
                  <c:v>132.97</c:v>
                </c:pt>
                <c:pt idx="1">
                  <c:v>130.31</c:v>
                </c:pt>
                <c:pt idx="2">
                  <c:v>123.94</c:v>
                </c:pt>
                <c:pt idx="3">
                  <c:v>114.95</c:v>
                </c:pt>
                <c:pt idx="4">
                  <c:v>103.99</c:v>
                </c:pt>
                <c:pt idx="5">
                  <c:v>92.55</c:v>
                </c:pt>
                <c:pt idx="6">
                  <c:v>80.260000000000005</c:v>
                </c:pt>
                <c:pt idx="7">
                  <c:v>67.48</c:v>
                </c:pt>
                <c:pt idx="8">
                  <c:v>54.59</c:v>
                </c:pt>
                <c:pt idx="9">
                  <c:v>41.71</c:v>
                </c:pt>
                <c:pt idx="10">
                  <c:v>29.16</c:v>
                </c:pt>
                <c:pt idx="11">
                  <c:v>18.22</c:v>
                </c:pt>
                <c:pt idx="12">
                  <c:v>13.58</c:v>
                </c:pt>
                <c:pt idx="13">
                  <c:v>20.37</c:v>
                </c:pt>
                <c:pt idx="14">
                  <c:v>32.01</c:v>
                </c:pt>
                <c:pt idx="15">
                  <c:v>44.49</c:v>
                </c:pt>
                <c:pt idx="16">
                  <c:v>57.46</c:v>
                </c:pt>
                <c:pt idx="17">
                  <c:v>70.319999999999993</c:v>
                </c:pt>
                <c:pt idx="18">
                  <c:v>82.98</c:v>
                </c:pt>
                <c:pt idx="19">
                  <c:v>94.07</c:v>
                </c:pt>
                <c:pt idx="20">
                  <c:v>107.08</c:v>
                </c:pt>
                <c:pt idx="21">
                  <c:v>112.18</c:v>
                </c:pt>
                <c:pt idx="22">
                  <c:v>125.66</c:v>
                </c:pt>
                <c:pt idx="23">
                  <c:v>131.25</c:v>
                </c:pt>
              </c:numCache>
            </c:numRef>
          </c:yVal>
        </c:ser>
        <c:ser>
          <c:idx val="4"/>
          <c:order val="4"/>
          <c:tx>
            <c:strRef>
              <c:f>Estimator!$AT$69</c:f>
              <c:strCache>
                <c:ptCount val="1"/>
                <c:pt idx="0">
                  <c:v>AZ 35</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Estimator!$AT$70:$AT$93</c:f>
              <c:numCache>
                <c:formatCode>0.00</c:formatCode>
                <c:ptCount val="24"/>
                <c:pt idx="0">
                  <c:v>3.04</c:v>
                </c:pt>
                <c:pt idx="1">
                  <c:v>20.73</c:v>
                </c:pt>
                <c:pt idx="2">
                  <c:v>36.31</c:v>
                </c:pt>
                <c:pt idx="3">
                  <c:v>49.28</c:v>
                </c:pt>
                <c:pt idx="4">
                  <c:v>60.03</c:v>
                </c:pt>
                <c:pt idx="5">
                  <c:v>69.22</c:v>
                </c:pt>
                <c:pt idx="6">
                  <c:v>77.540000000000006</c:v>
                </c:pt>
                <c:pt idx="7">
                  <c:v>85.64</c:v>
                </c:pt>
                <c:pt idx="8">
                  <c:v>94.3</c:v>
                </c:pt>
                <c:pt idx="9">
                  <c:v>104.8</c:v>
                </c:pt>
                <c:pt idx="10">
                  <c:v>119.82</c:v>
                </c:pt>
                <c:pt idx="11">
                  <c:v>145.59</c:v>
                </c:pt>
                <c:pt idx="12">
                  <c:v>187.57</c:v>
                </c:pt>
                <c:pt idx="13">
                  <c:v>224.84</c:v>
                </c:pt>
                <c:pt idx="14">
                  <c:v>246.05</c:v>
                </c:pt>
                <c:pt idx="15">
                  <c:v>259.11</c:v>
                </c:pt>
                <c:pt idx="16">
                  <c:v>268.81</c:v>
                </c:pt>
                <c:pt idx="17">
                  <c:v>277.19</c:v>
                </c:pt>
                <c:pt idx="18">
                  <c:v>285.29000000000002</c:v>
                </c:pt>
                <c:pt idx="19">
                  <c:v>293.62</c:v>
                </c:pt>
                <c:pt idx="20">
                  <c:v>303.27999999999997</c:v>
                </c:pt>
                <c:pt idx="21">
                  <c:v>308.74</c:v>
                </c:pt>
                <c:pt idx="22">
                  <c:v>328.57</c:v>
                </c:pt>
                <c:pt idx="23">
                  <c:v>344.99</c:v>
                </c:pt>
              </c:numCache>
            </c:numRef>
          </c:yVal>
        </c:ser>
        <c:ser>
          <c:idx val="5"/>
          <c:order val="5"/>
          <c:tx>
            <c:strRef>
              <c:f>Estimator!$AU$69</c:f>
              <c:strCache>
                <c:ptCount val="1"/>
                <c:pt idx="0">
                  <c:v>ZEN 35</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Estimator!$AU$70:$AU$93</c:f>
              <c:numCache>
                <c:formatCode>0.00</c:formatCode>
                <c:ptCount val="24"/>
                <c:pt idx="0">
                  <c:v>128.1</c:v>
                </c:pt>
                <c:pt idx="1">
                  <c:v>125.55</c:v>
                </c:pt>
                <c:pt idx="2">
                  <c:v>119.65</c:v>
                </c:pt>
                <c:pt idx="3">
                  <c:v>111.06</c:v>
                </c:pt>
                <c:pt idx="4">
                  <c:v>101.3</c:v>
                </c:pt>
                <c:pt idx="5">
                  <c:v>90.21</c:v>
                </c:pt>
                <c:pt idx="6">
                  <c:v>78.48</c:v>
                </c:pt>
                <c:pt idx="7">
                  <c:v>66.31</c:v>
                </c:pt>
                <c:pt idx="8">
                  <c:v>54.09</c:v>
                </c:pt>
                <c:pt idx="9">
                  <c:v>41.96</c:v>
                </c:pt>
                <c:pt idx="10">
                  <c:v>30.64</c:v>
                </c:pt>
                <c:pt idx="11">
                  <c:v>21.52</c:v>
                </c:pt>
                <c:pt idx="12">
                  <c:v>18.489999999999998</c:v>
                </c:pt>
                <c:pt idx="13">
                  <c:v>24.1</c:v>
                </c:pt>
                <c:pt idx="14">
                  <c:v>34.270000000000003</c:v>
                </c:pt>
                <c:pt idx="15">
                  <c:v>45.93</c:v>
                </c:pt>
                <c:pt idx="16">
                  <c:v>58.12</c:v>
                </c:pt>
                <c:pt idx="17">
                  <c:v>69.650000000000006</c:v>
                </c:pt>
                <c:pt idx="18">
                  <c:v>82.33</c:v>
                </c:pt>
                <c:pt idx="19">
                  <c:v>94.08</c:v>
                </c:pt>
                <c:pt idx="20">
                  <c:v>104.81</c:v>
                </c:pt>
                <c:pt idx="21">
                  <c:v>109.78</c:v>
                </c:pt>
                <c:pt idx="22">
                  <c:v>121.81</c:v>
                </c:pt>
                <c:pt idx="23">
                  <c:v>126.82</c:v>
                </c:pt>
              </c:numCache>
            </c:numRef>
          </c:yVal>
        </c:ser>
        <c:ser>
          <c:idx val="6"/>
          <c:order val="6"/>
          <c:tx>
            <c:strRef>
              <c:f>Estimator!$AV$69</c:f>
              <c:strCache>
                <c:ptCount val="1"/>
                <c:pt idx="0">
                  <c:v>AZ 40</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Estimator!$AV$70:$AV$93</c:f>
              <c:numCache>
                <c:formatCode>0.00</c:formatCode>
                <c:ptCount val="24"/>
                <c:pt idx="0">
                  <c:v>0.41</c:v>
                </c:pt>
                <c:pt idx="1">
                  <c:v>17.32</c:v>
                </c:pt>
                <c:pt idx="2">
                  <c:v>32.799999999999997</c:v>
                </c:pt>
                <c:pt idx="3">
                  <c:v>46.23</c:v>
                </c:pt>
                <c:pt idx="4">
                  <c:v>57.77</c:v>
                </c:pt>
                <c:pt idx="5">
                  <c:v>67.91</c:v>
                </c:pt>
                <c:pt idx="6">
                  <c:v>77.25</c:v>
                </c:pt>
                <c:pt idx="7">
                  <c:v>86.42</c:v>
                </c:pt>
                <c:pt idx="8">
                  <c:v>96.23</c:v>
                </c:pt>
                <c:pt idx="9">
                  <c:v>107.87</c:v>
                </c:pt>
                <c:pt idx="10">
                  <c:v>123.53</c:v>
                </c:pt>
                <c:pt idx="11">
                  <c:v>147.11000000000001</c:v>
                </c:pt>
                <c:pt idx="12">
                  <c:v>180.9</c:v>
                </c:pt>
                <c:pt idx="13">
                  <c:v>214.33</c:v>
                </c:pt>
                <c:pt idx="14">
                  <c:v>237.44</c:v>
                </c:pt>
                <c:pt idx="15">
                  <c:v>252.85</c:v>
                </c:pt>
                <c:pt idx="16">
                  <c:v>264.37</c:v>
                </c:pt>
                <c:pt idx="17">
                  <c:v>274.13</c:v>
                </c:pt>
                <c:pt idx="18">
                  <c:v>283.31</c:v>
                </c:pt>
                <c:pt idx="19">
                  <c:v>292.47000000000003</c:v>
                </c:pt>
                <c:pt idx="20">
                  <c:v>302.68</c:v>
                </c:pt>
                <c:pt idx="21">
                  <c:v>308.29000000000002</c:v>
                </c:pt>
                <c:pt idx="22">
                  <c:v>327.88</c:v>
                </c:pt>
                <c:pt idx="23">
                  <c:v>343.46</c:v>
                </c:pt>
              </c:numCache>
            </c:numRef>
          </c:yVal>
        </c:ser>
        <c:ser>
          <c:idx val="7"/>
          <c:order val="7"/>
          <c:tx>
            <c:strRef>
              <c:f>Estimator!$AW$69</c:f>
              <c:strCache>
                <c:ptCount val="1"/>
                <c:pt idx="0">
                  <c:v>ZEN 40</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Estimator!$AW$70:$AW$93</c:f>
              <c:numCache>
                <c:formatCode>0.00</c:formatCode>
                <c:ptCount val="24"/>
                <c:pt idx="0">
                  <c:v>123.33</c:v>
                </c:pt>
                <c:pt idx="1">
                  <c:v>121.55</c:v>
                </c:pt>
                <c:pt idx="2">
                  <c:v>116.64</c:v>
                </c:pt>
                <c:pt idx="3">
                  <c:v>109.32</c:v>
                </c:pt>
                <c:pt idx="4">
                  <c:v>100.25</c:v>
                </c:pt>
                <c:pt idx="5">
                  <c:v>90.02</c:v>
                </c:pt>
                <c:pt idx="6">
                  <c:v>79.040000000000006</c:v>
                </c:pt>
                <c:pt idx="7">
                  <c:v>67.7</c:v>
                </c:pt>
                <c:pt idx="8">
                  <c:v>56.17</c:v>
                </c:pt>
                <c:pt idx="9">
                  <c:v>45.08</c:v>
                </c:pt>
                <c:pt idx="10">
                  <c:v>34.6</c:v>
                </c:pt>
                <c:pt idx="11">
                  <c:v>26.47</c:v>
                </c:pt>
                <c:pt idx="12">
                  <c:v>23.12</c:v>
                </c:pt>
                <c:pt idx="13">
                  <c:v>26.74</c:v>
                </c:pt>
                <c:pt idx="14">
                  <c:v>35.04</c:v>
                </c:pt>
                <c:pt idx="15">
                  <c:v>45.58</c:v>
                </c:pt>
                <c:pt idx="16">
                  <c:v>56.77</c:v>
                </c:pt>
                <c:pt idx="17">
                  <c:v>68.209999999999994</c:v>
                </c:pt>
                <c:pt idx="18">
                  <c:v>79.48</c:v>
                </c:pt>
                <c:pt idx="19">
                  <c:v>90.62</c:v>
                </c:pt>
                <c:pt idx="20">
                  <c:v>100.77</c:v>
                </c:pt>
                <c:pt idx="21">
                  <c:v>105.52</c:v>
                </c:pt>
                <c:pt idx="22">
                  <c:v>116.97</c:v>
                </c:pt>
                <c:pt idx="23">
                  <c:v>121.72</c:v>
                </c:pt>
              </c:numCache>
            </c:numRef>
          </c:yVal>
        </c:ser>
        <c:ser>
          <c:idx val="8"/>
          <c:order val="8"/>
          <c:tx>
            <c:strRef>
              <c:f>Estimator!$AX$69</c:f>
              <c:strCache>
                <c:ptCount val="1"/>
                <c:pt idx="0">
                  <c:v>AZ 42</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Estimator!$AX$70:$AX$93</c:f>
              <c:numCache>
                <c:formatCode>0.00</c:formatCode>
                <c:ptCount val="24"/>
                <c:pt idx="0">
                  <c:v>4.97</c:v>
                </c:pt>
                <c:pt idx="1">
                  <c:v>21.17</c:v>
                </c:pt>
                <c:pt idx="2">
                  <c:v>35.950000000000003</c:v>
                </c:pt>
                <c:pt idx="3">
                  <c:v>48.95</c:v>
                </c:pt>
                <c:pt idx="4">
                  <c:v>60.37</c:v>
                </c:pt>
                <c:pt idx="5">
                  <c:v>70.69</c:v>
                </c:pt>
                <c:pt idx="6">
                  <c:v>80.48</c:v>
                </c:pt>
                <c:pt idx="7">
                  <c:v>90.39</c:v>
                </c:pt>
                <c:pt idx="8">
                  <c:v>101.29</c:v>
                </c:pt>
                <c:pt idx="9">
                  <c:v>114.53</c:v>
                </c:pt>
                <c:pt idx="10">
                  <c:v>132.38999999999999</c:v>
                </c:pt>
                <c:pt idx="11">
                  <c:v>157.84</c:v>
                </c:pt>
                <c:pt idx="12">
                  <c:v>189.71</c:v>
                </c:pt>
                <c:pt idx="13">
                  <c:v>218.46</c:v>
                </c:pt>
                <c:pt idx="14">
                  <c:v>239.07</c:v>
                </c:pt>
                <c:pt idx="15">
                  <c:v>253.85</c:v>
                </c:pt>
                <c:pt idx="16">
                  <c:v>265.5</c:v>
                </c:pt>
                <c:pt idx="17">
                  <c:v>275.69</c:v>
                </c:pt>
                <c:pt idx="18">
                  <c:v>285.45</c:v>
                </c:pt>
                <c:pt idx="19">
                  <c:v>295.29000000000002</c:v>
                </c:pt>
                <c:pt idx="20">
                  <c:v>306.23</c:v>
                </c:pt>
                <c:pt idx="21">
                  <c:v>312.2</c:v>
                </c:pt>
                <c:pt idx="22">
                  <c:v>332.66</c:v>
                </c:pt>
                <c:pt idx="23">
                  <c:v>348.39</c:v>
                </c:pt>
              </c:numCache>
            </c:numRef>
          </c:yVal>
        </c:ser>
        <c:ser>
          <c:idx val="9"/>
          <c:order val="9"/>
          <c:tx>
            <c:strRef>
              <c:f>Estimator!$AY$69</c:f>
              <c:strCache>
                <c:ptCount val="1"/>
                <c:pt idx="0">
                  <c:v>ZEN 42</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Estimator!$AY$70:$AY$93</c:f>
              <c:numCache>
                <c:formatCode>0.00</c:formatCode>
                <c:ptCount val="24"/>
                <c:pt idx="0">
                  <c:v>120.37</c:v>
                </c:pt>
                <c:pt idx="1">
                  <c:v>117.81</c:v>
                </c:pt>
                <c:pt idx="2">
                  <c:v>112.52</c:v>
                </c:pt>
                <c:pt idx="3">
                  <c:v>105.72</c:v>
                </c:pt>
                <c:pt idx="4">
                  <c:v>96.13</c:v>
                </c:pt>
                <c:pt idx="5">
                  <c:v>86.13</c:v>
                </c:pt>
                <c:pt idx="6">
                  <c:v>75.47</c:v>
                </c:pt>
                <c:pt idx="7">
                  <c:v>64.540000000000006</c:v>
                </c:pt>
                <c:pt idx="8">
                  <c:v>53.59</c:v>
                </c:pt>
                <c:pt idx="9">
                  <c:v>43.13</c:v>
                </c:pt>
                <c:pt idx="10">
                  <c:v>33.94</c:v>
                </c:pt>
                <c:pt idx="11">
                  <c:v>27.55</c:v>
                </c:pt>
                <c:pt idx="12">
                  <c:v>26.35</c:v>
                </c:pt>
                <c:pt idx="13">
                  <c:v>30.93</c:v>
                </c:pt>
                <c:pt idx="14">
                  <c:v>39.14</c:v>
                </c:pt>
                <c:pt idx="15">
                  <c:v>49.24</c:v>
                </c:pt>
                <c:pt idx="16">
                  <c:v>60.05</c:v>
                </c:pt>
                <c:pt idx="17">
                  <c:v>70.8</c:v>
                </c:pt>
                <c:pt idx="18">
                  <c:v>81.81</c:v>
                </c:pt>
                <c:pt idx="19">
                  <c:v>92.28</c:v>
                </c:pt>
                <c:pt idx="20">
                  <c:v>101.67</c:v>
                </c:pt>
                <c:pt idx="21">
                  <c:v>105.97</c:v>
                </c:pt>
                <c:pt idx="22">
                  <c:v>116.02</c:v>
                </c:pt>
                <c:pt idx="23">
                  <c:v>119.65</c:v>
                </c:pt>
              </c:numCache>
            </c:numRef>
          </c:yVal>
        </c:ser>
        <c:ser>
          <c:idx val="10"/>
          <c:order val="10"/>
          <c:tx>
            <c:strRef>
              <c:f>Estimator!$AZ$69</c:f>
              <c:strCache>
                <c:ptCount val="1"/>
                <c:pt idx="0">
                  <c:v>AZ 43</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Estimator!$AZ$70:$AZ$93</c:f>
              <c:numCache>
                <c:formatCode>0.00</c:formatCode>
                <c:ptCount val="24"/>
                <c:pt idx="0">
                  <c:v>14.25</c:v>
                </c:pt>
                <c:pt idx="1">
                  <c:v>29.65</c:v>
                </c:pt>
                <c:pt idx="2">
                  <c:v>43.42</c:v>
                </c:pt>
                <c:pt idx="3">
                  <c:v>55.54</c:v>
                </c:pt>
                <c:pt idx="4">
                  <c:v>66.37</c:v>
                </c:pt>
                <c:pt idx="5">
                  <c:v>76.45</c:v>
                </c:pt>
                <c:pt idx="6">
                  <c:v>86.38</c:v>
                </c:pt>
                <c:pt idx="7">
                  <c:v>96.91</c:v>
                </c:pt>
                <c:pt idx="8">
                  <c:v>109.14</c:v>
                </c:pt>
                <c:pt idx="9">
                  <c:v>124.81</c:v>
                </c:pt>
                <c:pt idx="10">
                  <c:v>146.63</c:v>
                </c:pt>
                <c:pt idx="11">
                  <c:v>175.9</c:v>
                </c:pt>
                <c:pt idx="12">
                  <c:v>206.46</c:v>
                </c:pt>
                <c:pt idx="13">
                  <c:v>230.3</c:v>
                </c:pt>
                <c:pt idx="14">
                  <c:v>247.3</c:v>
                </c:pt>
                <c:pt idx="15">
                  <c:v>260.22000000000003</c:v>
                </c:pt>
                <c:pt idx="16">
                  <c:v>271.08</c:v>
                </c:pt>
                <c:pt idx="17">
                  <c:v>281.10000000000002</c:v>
                </c:pt>
                <c:pt idx="18">
                  <c:v>291.08</c:v>
                </c:pt>
                <c:pt idx="19">
                  <c:v>301.49</c:v>
                </c:pt>
                <c:pt idx="20">
                  <c:v>313.25</c:v>
                </c:pt>
                <c:pt idx="21">
                  <c:v>319.7</c:v>
                </c:pt>
                <c:pt idx="22">
                  <c:v>341.61</c:v>
                </c:pt>
                <c:pt idx="23">
                  <c:v>357.86</c:v>
                </c:pt>
              </c:numCache>
            </c:numRef>
          </c:yVal>
        </c:ser>
        <c:ser>
          <c:idx val="11"/>
          <c:order val="11"/>
          <c:tx>
            <c:strRef>
              <c:f>Estimator!$BA$69</c:f>
              <c:strCache>
                <c:ptCount val="1"/>
                <c:pt idx="0">
                  <c:v>ZEN 43</c:v>
                </c:pt>
              </c:strCache>
            </c:strRef>
          </c:tx>
          <c:marker>
            <c:symbol val="none"/>
          </c:marker>
          <c:xVal>
            <c:numRef>
              <c:f>Estimator!$AO$70:$AO$93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Estimator!$BA$70:$BA$93</c:f>
              <c:numCache>
                <c:formatCode>0.00</c:formatCode>
                <c:ptCount val="24"/>
                <c:pt idx="0">
                  <c:v>118.48</c:v>
                </c:pt>
                <c:pt idx="1">
                  <c:v>114.34</c:v>
                </c:pt>
                <c:pt idx="2">
                  <c:v>107.92</c:v>
                </c:pt>
                <c:pt idx="3">
                  <c:v>99.67</c:v>
                </c:pt>
                <c:pt idx="4">
                  <c:v>90.2</c:v>
                </c:pt>
                <c:pt idx="5">
                  <c:v>79.900000000000006</c:v>
                </c:pt>
                <c:pt idx="6">
                  <c:v>69.23</c:v>
                </c:pt>
                <c:pt idx="7">
                  <c:v>58.34</c:v>
                </c:pt>
                <c:pt idx="8">
                  <c:v>47.7</c:v>
                </c:pt>
                <c:pt idx="9">
                  <c:v>38.229999999999997</c:v>
                </c:pt>
                <c:pt idx="10">
                  <c:v>30.47</c:v>
                </c:pt>
                <c:pt idx="11">
                  <c:v>26.9</c:v>
                </c:pt>
                <c:pt idx="12">
                  <c:v>29.05</c:v>
                </c:pt>
                <c:pt idx="13">
                  <c:v>35.81</c:v>
                </c:pt>
                <c:pt idx="14">
                  <c:v>45.11</c:v>
                </c:pt>
                <c:pt idx="15">
                  <c:v>55.53</c:v>
                </c:pt>
                <c:pt idx="16">
                  <c:v>66.31</c:v>
                </c:pt>
                <c:pt idx="17">
                  <c:v>77.040000000000006</c:v>
                </c:pt>
                <c:pt idx="18">
                  <c:v>87.48</c:v>
                </c:pt>
                <c:pt idx="19">
                  <c:v>97.41</c:v>
                </c:pt>
                <c:pt idx="20">
                  <c:v>106.07</c:v>
                </c:pt>
                <c:pt idx="21">
                  <c:v>109.72</c:v>
                </c:pt>
                <c:pt idx="22">
                  <c:v>117.69</c:v>
                </c:pt>
                <c:pt idx="23">
                  <c:v>119.65</c:v>
                </c:pt>
              </c:numCache>
            </c:numRef>
          </c:yVal>
        </c:ser>
        <c:axId val="129022592"/>
        <c:axId val="130622208"/>
      </c:scatterChart>
      <c:valAx>
        <c:axId val="129022592"/>
        <c:scaling>
          <c:orientation val="minMax"/>
        </c:scaling>
        <c:axPos val="b"/>
        <c:title/>
        <c:numFmt formatCode="General" sourceLinked="1"/>
        <c:majorTickMark val="none"/>
        <c:tickLblPos val="nextTo"/>
        <c:crossAx val="130622208"/>
        <c:crosses val="autoZero"/>
        <c:crossBetween val="midCat"/>
      </c:valAx>
      <c:valAx>
        <c:axId val="130622208"/>
        <c:scaling>
          <c:orientation val="minMax"/>
        </c:scaling>
        <c:axPos val="l"/>
        <c:majorGridlines/>
        <c:title/>
        <c:numFmt formatCode="0.00" sourceLinked="1"/>
        <c:majorTickMark val="none"/>
        <c:tickLblPos val="nextTo"/>
        <c:crossAx val="129022592"/>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Return on Investment</a:t>
            </a:r>
          </a:p>
        </c:rich>
      </c:tx>
      <c:layout/>
    </c:title>
    <c:plotArea>
      <c:layout/>
      <c:scatterChart>
        <c:scatterStyle val="lineMarker"/>
        <c:ser>
          <c:idx val="1"/>
          <c:order val="0"/>
          <c:tx>
            <c:strRef>
              <c:f>Estimator!$AE$4</c:f>
              <c:strCache>
                <c:ptCount val="1"/>
                <c:pt idx="0">
                  <c:v>Cost Avoided</c:v>
                </c:pt>
              </c:strCache>
            </c:strRef>
          </c:tx>
          <c:marker>
            <c:symbol val="none"/>
          </c:marker>
          <c:xVal>
            <c:numRef>
              <c:f>Estimator!$AC$5:$AC$29</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Estimator!$AE$5:$AE$29</c:f>
              <c:numCache>
                <c:formatCode>0.00</c:formatCode>
                <c:ptCount val="25"/>
                <c:pt idx="1">
                  <c:v>2277.7260577954667</c:v>
                </c:pt>
                <c:pt idx="2">
                  <c:v>3440.248417669206</c:v>
                </c:pt>
                <c:pt idx="3">
                  <c:v>4618.7761770393736</c:v>
                </c:pt>
                <c:pt idx="4">
                  <c:v>5813.4845429418774</c:v>
                </c:pt>
                <c:pt idx="5">
                  <c:v>7024.5493285342636</c:v>
                </c:pt>
                <c:pt idx="6">
                  <c:v>8252.1469072577656</c:v>
                </c:pt>
                <c:pt idx="7">
                  <c:v>9496.4541649233906</c:v>
                </c:pt>
                <c:pt idx="8">
                  <c:v>10757.648449657336</c:v>
                </c:pt>
                <c:pt idx="9">
                  <c:v>12035.907519639266</c:v>
                </c:pt>
                <c:pt idx="10">
                  <c:v>13331.409488565208</c:v>
                </c:pt>
                <c:pt idx="11">
                  <c:v>14644.332768764929</c:v>
                </c:pt>
                <c:pt idx="12">
                  <c:v>15974.856011901809</c:v>
                </c:pt>
                <c:pt idx="13">
                  <c:v>17323.158047181256</c:v>
                </c:pt>
                <c:pt idx="14">
                  <c:v>18689.417816991718</c:v>
                </c:pt>
                <c:pt idx="15">
                  <c:v>20073.814309900325</c:v>
                </c:pt>
                <c:pt idx="16">
                  <c:v>21476.526490923075</c:v>
                </c:pt>
                <c:pt idx="17">
                  <c:v>22897.733228987374</c:v>
                </c:pt>
                <c:pt idx="18">
                  <c:v>24337.61322150247</c:v>
                </c:pt>
                <c:pt idx="19">
                  <c:v>25796.344915951173</c:v>
                </c:pt>
                <c:pt idx="20">
                  <c:v>27274.106428413819</c:v>
                </c:pt>
                <c:pt idx="21">
                  <c:v>28771.075458933192</c:v>
                </c:pt>
                <c:pt idx="22">
                  <c:v>30287.429203626569</c:v>
                </c:pt>
                <c:pt idx="23">
                  <c:v>31823.344263448704</c:v>
                </c:pt>
                <c:pt idx="24">
                  <c:v>33378.996549506875</c:v>
                </c:pt>
              </c:numCache>
            </c:numRef>
          </c:yVal>
        </c:ser>
        <c:ser>
          <c:idx val="2"/>
          <c:order val="1"/>
          <c:tx>
            <c:strRef>
              <c:f>Estimator!$AF$4</c:f>
              <c:strCache>
                <c:ptCount val="1"/>
                <c:pt idx="0">
                  <c:v>Initial cost</c:v>
                </c:pt>
              </c:strCache>
            </c:strRef>
          </c:tx>
          <c:marker>
            <c:symbol val="none"/>
          </c:marker>
          <c:xVal>
            <c:numRef>
              <c:f>Estimator!$AC$5:$AC$29</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Estimator!$AF$5:$AF$29</c:f>
              <c:numCache>
                <c:formatCode>0</c:formatCode>
                <c:ptCount val="25"/>
                <c:pt idx="0">
                  <c:v>17500</c:v>
                </c:pt>
                <c:pt idx="1">
                  <c:v>17500</c:v>
                </c:pt>
                <c:pt idx="2">
                  <c:v>17500</c:v>
                </c:pt>
                <c:pt idx="3">
                  <c:v>17500</c:v>
                </c:pt>
                <c:pt idx="4">
                  <c:v>17500</c:v>
                </c:pt>
                <c:pt idx="5">
                  <c:v>17500</c:v>
                </c:pt>
                <c:pt idx="6">
                  <c:v>17500</c:v>
                </c:pt>
                <c:pt idx="7">
                  <c:v>17500</c:v>
                </c:pt>
                <c:pt idx="8">
                  <c:v>17500</c:v>
                </c:pt>
                <c:pt idx="9">
                  <c:v>17500</c:v>
                </c:pt>
                <c:pt idx="10">
                  <c:v>17500</c:v>
                </c:pt>
                <c:pt idx="11">
                  <c:v>17500</c:v>
                </c:pt>
                <c:pt idx="12">
                  <c:v>17500</c:v>
                </c:pt>
                <c:pt idx="13">
                  <c:v>17500</c:v>
                </c:pt>
                <c:pt idx="14">
                  <c:v>17500</c:v>
                </c:pt>
                <c:pt idx="15">
                  <c:v>17500</c:v>
                </c:pt>
                <c:pt idx="16">
                  <c:v>17500</c:v>
                </c:pt>
                <c:pt idx="17">
                  <c:v>17500</c:v>
                </c:pt>
                <c:pt idx="18">
                  <c:v>17500</c:v>
                </c:pt>
                <c:pt idx="19">
                  <c:v>17500</c:v>
                </c:pt>
                <c:pt idx="20">
                  <c:v>17500</c:v>
                </c:pt>
                <c:pt idx="21">
                  <c:v>17500</c:v>
                </c:pt>
                <c:pt idx="22">
                  <c:v>17500</c:v>
                </c:pt>
                <c:pt idx="23">
                  <c:v>17500</c:v>
                </c:pt>
                <c:pt idx="24">
                  <c:v>17500</c:v>
                </c:pt>
              </c:numCache>
            </c:numRef>
          </c:yVal>
        </c:ser>
        <c:axId val="166165120"/>
        <c:axId val="166191872"/>
      </c:scatterChart>
      <c:valAx>
        <c:axId val="166165120"/>
        <c:scaling>
          <c:orientation val="minMax"/>
          <c:max val="25"/>
        </c:scaling>
        <c:axPos val="b"/>
        <c:majorGridlines/>
        <c:title>
          <c:tx>
            <c:rich>
              <a:bodyPr/>
              <a:lstStyle/>
              <a:p>
                <a:pPr>
                  <a:defRPr/>
                </a:pPr>
                <a:r>
                  <a:rPr lang="en-US"/>
                  <a:t>Year</a:t>
                </a:r>
              </a:p>
            </c:rich>
          </c:tx>
          <c:layout/>
        </c:title>
        <c:numFmt formatCode="General" sourceLinked="1"/>
        <c:minorTickMark val="out"/>
        <c:tickLblPos val="nextTo"/>
        <c:crossAx val="166191872"/>
        <c:crosses val="autoZero"/>
        <c:crossBetween val="midCat"/>
      </c:valAx>
      <c:valAx>
        <c:axId val="166191872"/>
        <c:scaling>
          <c:orientation val="minMax"/>
        </c:scaling>
        <c:axPos val="l"/>
        <c:majorGridlines/>
        <c:title>
          <c:tx>
            <c:rich>
              <a:bodyPr/>
              <a:lstStyle/>
              <a:p>
                <a:pPr>
                  <a:defRPr/>
                </a:pPr>
                <a:r>
                  <a:rPr lang="en-US"/>
                  <a:t>Cost Avoided &amp; Initial Cost ($)</a:t>
                </a:r>
              </a:p>
            </c:rich>
          </c:tx>
          <c:layout/>
        </c:title>
        <c:numFmt formatCode="0.00" sourceLinked="1"/>
        <c:majorTickMark val="none"/>
        <c:tickLblPos val="nextTo"/>
        <c:crossAx val="166165120"/>
        <c:crosses val="autoZero"/>
        <c:crossBetween val="midCat"/>
      </c:valAx>
    </c:plotArea>
    <c:legend>
      <c:legendPos val="r"/>
      <c:layout/>
    </c:legend>
    <c:plotVisOnly val="1"/>
  </c:chart>
  <c:printSettings>
    <c:headerFooter/>
    <c:pageMargins b="0.750000000000001" l="0.70000000000000062" r="0.70000000000000062" t="0.75000000000000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Sun Position</a:t>
            </a:r>
          </a:p>
        </c:rich>
      </c:tx>
      <c:layout/>
    </c:title>
    <c:plotArea>
      <c:layout>
        <c:manualLayout>
          <c:layoutTarget val="inner"/>
          <c:xMode val="edge"/>
          <c:yMode val="edge"/>
          <c:x val="9.7791912706143236E-2"/>
          <c:y val="8.9892435097930226E-2"/>
          <c:w val="0.79676333872061755"/>
          <c:h val="0.79185294757339864"/>
        </c:manualLayout>
      </c:layout>
      <c:scatterChart>
        <c:scatterStyle val="smoothMarker"/>
        <c:ser>
          <c:idx val="1"/>
          <c:order val="1"/>
          <c:tx>
            <c:strRef>
              <c:f>Estimator!$K$39</c:f>
              <c:strCache>
                <c:ptCount val="1"/>
                <c:pt idx="0">
                  <c:v>ZEN, W</c:v>
                </c:pt>
              </c:strCache>
            </c:strRef>
          </c:tx>
          <c:spPr>
            <a:ln>
              <a:solidFill>
                <a:srgbClr val="0070C0"/>
              </a:solidFill>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Estimator!$K$40:$K$63</c:f>
              <c:numCache>
                <c:formatCode>0.00</c:formatCode>
                <c:ptCount val="24"/>
                <c:pt idx="0">
                  <c:v>151.66</c:v>
                </c:pt>
                <c:pt idx="1">
                  <c:v>146.08000000000001</c:v>
                </c:pt>
                <c:pt idx="2">
                  <c:v>137.38</c:v>
                </c:pt>
                <c:pt idx="3">
                  <c:v>127.21</c:v>
                </c:pt>
                <c:pt idx="4">
                  <c:v>116.47</c:v>
                </c:pt>
                <c:pt idx="5">
                  <c:v>105.68</c:v>
                </c:pt>
                <c:pt idx="6">
                  <c:v>95.08</c:v>
                </c:pt>
                <c:pt idx="7">
                  <c:v>85.08</c:v>
                </c:pt>
                <c:pt idx="8">
                  <c:v>76.03</c:v>
                </c:pt>
                <c:pt idx="9">
                  <c:v>68.48</c:v>
                </c:pt>
                <c:pt idx="10">
                  <c:v>62.98</c:v>
                </c:pt>
                <c:pt idx="11">
                  <c:v>60.15</c:v>
                </c:pt>
                <c:pt idx="12">
                  <c:v>60.44</c:v>
                </c:pt>
                <c:pt idx="13">
                  <c:v>63.71</c:v>
                </c:pt>
                <c:pt idx="14">
                  <c:v>69.94</c:v>
                </c:pt>
                <c:pt idx="15">
                  <c:v>77.39</c:v>
                </c:pt>
                <c:pt idx="16">
                  <c:v>86.58</c:v>
                </c:pt>
                <c:pt idx="17">
                  <c:v>96.37</c:v>
                </c:pt>
                <c:pt idx="18">
                  <c:v>107.34</c:v>
                </c:pt>
                <c:pt idx="19">
                  <c:v>118.37</c:v>
                </c:pt>
                <c:pt idx="20">
                  <c:v>129.04</c:v>
                </c:pt>
                <c:pt idx="21">
                  <c:v>134.1</c:v>
                </c:pt>
                <c:pt idx="22">
                  <c:v>147.38999999999999</c:v>
                </c:pt>
                <c:pt idx="23">
                  <c:v>152.16</c:v>
                </c:pt>
              </c:numCache>
            </c:numRef>
          </c:yVal>
          <c:smooth val="1"/>
        </c:ser>
        <c:ser>
          <c:idx val="3"/>
          <c:order val="3"/>
          <c:tx>
            <c:strRef>
              <c:f>Estimator!$M$39</c:f>
              <c:strCache>
                <c:ptCount val="1"/>
                <c:pt idx="0">
                  <c:v>ZEN, Sp</c:v>
                </c:pt>
              </c:strCache>
            </c:strRef>
          </c:tx>
          <c:spPr>
            <a:ln>
              <a:solidFill>
                <a:srgbClr val="00B050"/>
              </a:solidFill>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Estimator!$M$40:$M$63</c:f>
              <c:numCache>
                <c:formatCode>0.00</c:formatCode>
                <c:ptCount val="24"/>
                <c:pt idx="0">
                  <c:v>118.48</c:v>
                </c:pt>
                <c:pt idx="1">
                  <c:v>114.34</c:v>
                </c:pt>
                <c:pt idx="2">
                  <c:v>107.92</c:v>
                </c:pt>
                <c:pt idx="3">
                  <c:v>99.67</c:v>
                </c:pt>
                <c:pt idx="4">
                  <c:v>90.2</c:v>
                </c:pt>
                <c:pt idx="5">
                  <c:v>79.900000000000006</c:v>
                </c:pt>
                <c:pt idx="6">
                  <c:v>69.23</c:v>
                </c:pt>
                <c:pt idx="7">
                  <c:v>58.34</c:v>
                </c:pt>
                <c:pt idx="8">
                  <c:v>47.7</c:v>
                </c:pt>
                <c:pt idx="9">
                  <c:v>38.229999999999997</c:v>
                </c:pt>
                <c:pt idx="10">
                  <c:v>30.47</c:v>
                </c:pt>
                <c:pt idx="11">
                  <c:v>26.9</c:v>
                </c:pt>
                <c:pt idx="12">
                  <c:v>29.05</c:v>
                </c:pt>
                <c:pt idx="13">
                  <c:v>35.81</c:v>
                </c:pt>
                <c:pt idx="14">
                  <c:v>45.11</c:v>
                </c:pt>
                <c:pt idx="15">
                  <c:v>55.53</c:v>
                </c:pt>
                <c:pt idx="16">
                  <c:v>66.31</c:v>
                </c:pt>
                <c:pt idx="17">
                  <c:v>77.040000000000006</c:v>
                </c:pt>
                <c:pt idx="18">
                  <c:v>87.48</c:v>
                </c:pt>
                <c:pt idx="19">
                  <c:v>97.41</c:v>
                </c:pt>
                <c:pt idx="20">
                  <c:v>106.07</c:v>
                </c:pt>
                <c:pt idx="21">
                  <c:v>109.72</c:v>
                </c:pt>
                <c:pt idx="22">
                  <c:v>117.69</c:v>
                </c:pt>
                <c:pt idx="23">
                  <c:v>119.65</c:v>
                </c:pt>
              </c:numCache>
            </c:numRef>
          </c:yVal>
          <c:smooth val="1"/>
        </c:ser>
        <c:ser>
          <c:idx val="5"/>
          <c:order val="5"/>
          <c:tx>
            <c:strRef>
              <c:f>Estimator!$O$39</c:f>
              <c:strCache>
                <c:ptCount val="1"/>
                <c:pt idx="0">
                  <c:v>ZEN, Su</c:v>
                </c:pt>
              </c:strCache>
            </c:strRef>
          </c:tx>
          <c:spPr>
            <a:ln>
              <a:solidFill>
                <a:srgbClr val="FF0000"/>
              </a:solidFill>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Estimator!$O$40:$O$63</c:f>
              <c:numCache>
                <c:formatCode>0.00</c:formatCode>
                <c:ptCount val="24"/>
                <c:pt idx="0">
                  <c:v>118.71</c:v>
                </c:pt>
                <c:pt idx="1">
                  <c:v>115.01</c:v>
                </c:pt>
                <c:pt idx="2">
                  <c:v>108.97</c:v>
                </c:pt>
                <c:pt idx="3">
                  <c:v>100.99</c:v>
                </c:pt>
                <c:pt idx="4">
                  <c:v>91.65</c:v>
                </c:pt>
                <c:pt idx="5">
                  <c:v>81.52</c:v>
                </c:pt>
                <c:pt idx="6">
                  <c:v>70.91</c:v>
                </c:pt>
                <c:pt idx="7">
                  <c:v>59.9</c:v>
                </c:pt>
                <c:pt idx="8">
                  <c:v>49.4</c:v>
                </c:pt>
                <c:pt idx="9">
                  <c:v>39.549999999999997</c:v>
                </c:pt>
                <c:pt idx="10">
                  <c:v>31.52</c:v>
                </c:pt>
                <c:pt idx="11">
                  <c:v>27.14</c:v>
                </c:pt>
                <c:pt idx="12">
                  <c:v>28.43</c:v>
                </c:pt>
                <c:pt idx="13">
                  <c:v>34.65</c:v>
                </c:pt>
                <c:pt idx="14">
                  <c:v>43.68</c:v>
                </c:pt>
                <c:pt idx="15">
                  <c:v>53.98</c:v>
                </c:pt>
                <c:pt idx="16">
                  <c:v>64.760000000000005</c:v>
                </c:pt>
                <c:pt idx="17">
                  <c:v>75.59</c:v>
                </c:pt>
                <c:pt idx="18">
                  <c:v>86.07</c:v>
                </c:pt>
                <c:pt idx="19">
                  <c:v>95.72</c:v>
                </c:pt>
                <c:pt idx="20">
                  <c:v>104.86</c:v>
                </c:pt>
                <c:pt idx="21">
                  <c:v>108.39</c:v>
                </c:pt>
                <c:pt idx="22">
                  <c:v>117</c:v>
                </c:pt>
                <c:pt idx="23">
                  <c:v>119.38</c:v>
                </c:pt>
              </c:numCache>
            </c:numRef>
          </c:yVal>
          <c:smooth val="1"/>
        </c:ser>
        <c:ser>
          <c:idx val="7"/>
          <c:order val="7"/>
          <c:tx>
            <c:strRef>
              <c:f>Estimator!$Q$39</c:f>
              <c:strCache>
                <c:ptCount val="1"/>
                <c:pt idx="0">
                  <c:v>ZEN, F</c:v>
                </c:pt>
              </c:strCache>
            </c:strRef>
          </c:tx>
          <c:spPr>
            <a:ln>
              <a:solidFill>
                <a:schemeClr val="accent6">
                  <a:lumMod val="75000"/>
                </a:schemeClr>
              </a:solidFill>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Estimator!$Q$40:$Q$63</c:f>
              <c:numCache>
                <c:formatCode>0.00</c:formatCode>
                <c:ptCount val="24"/>
                <c:pt idx="0">
                  <c:v>148.61000000000001</c:v>
                </c:pt>
                <c:pt idx="1">
                  <c:v>141.29</c:v>
                </c:pt>
                <c:pt idx="2">
                  <c:v>131.81</c:v>
                </c:pt>
                <c:pt idx="3">
                  <c:v>121.34</c:v>
                </c:pt>
                <c:pt idx="4">
                  <c:v>109.04</c:v>
                </c:pt>
                <c:pt idx="5">
                  <c:v>99.76</c:v>
                </c:pt>
                <c:pt idx="6">
                  <c:v>89.42</c:v>
                </c:pt>
                <c:pt idx="7">
                  <c:v>79.84</c:v>
                </c:pt>
                <c:pt idx="8">
                  <c:v>73.02</c:v>
                </c:pt>
                <c:pt idx="9">
                  <c:v>65.180000000000007</c:v>
                </c:pt>
                <c:pt idx="10">
                  <c:v>60.61</c:v>
                </c:pt>
                <c:pt idx="11">
                  <c:v>59.34</c:v>
                </c:pt>
                <c:pt idx="12">
                  <c:v>62.54</c:v>
                </c:pt>
                <c:pt idx="13">
                  <c:v>65.989999999999995</c:v>
                </c:pt>
                <c:pt idx="14">
                  <c:v>72.89</c:v>
                </c:pt>
                <c:pt idx="15">
                  <c:v>81.52</c:v>
                </c:pt>
                <c:pt idx="16">
                  <c:v>91.29</c:v>
                </c:pt>
                <c:pt idx="17">
                  <c:v>101.74</c:v>
                </c:pt>
                <c:pt idx="18">
                  <c:v>112.52</c:v>
                </c:pt>
                <c:pt idx="19">
                  <c:v>123.11</c:v>
                </c:pt>
                <c:pt idx="20">
                  <c:v>133.52000000000001</c:v>
                </c:pt>
                <c:pt idx="21">
                  <c:v>138.32</c:v>
                </c:pt>
                <c:pt idx="22">
                  <c:v>149.49</c:v>
                </c:pt>
                <c:pt idx="23">
                  <c:v>151.81</c:v>
                </c:pt>
              </c:numCache>
            </c:numRef>
          </c:yVal>
          <c:smooth val="1"/>
        </c:ser>
        <c:axId val="166486016"/>
        <c:axId val="166487936"/>
      </c:scatterChart>
      <c:scatterChart>
        <c:scatterStyle val="smoothMarker"/>
        <c:ser>
          <c:idx val="0"/>
          <c:order val="0"/>
          <c:tx>
            <c:strRef>
              <c:f>Estimator!$J$39</c:f>
              <c:strCache>
                <c:ptCount val="1"/>
                <c:pt idx="0">
                  <c:v>AZ, W</c:v>
                </c:pt>
              </c:strCache>
            </c:strRef>
          </c:tx>
          <c:spPr>
            <a:ln>
              <a:solidFill>
                <a:srgbClr val="0070C0"/>
              </a:solidFill>
              <a:prstDash val="lgDash"/>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Estimator!$J$40:$J$63</c:f>
              <c:numCache>
                <c:formatCode>0.00</c:formatCode>
                <c:ptCount val="24"/>
                <c:pt idx="0">
                  <c:v>17.95</c:v>
                </c:pt>
                <c:pt idx="1">
                  <c:v>43.83</c:v>
                </c:pt>
                <c:pt idx="2">
                  <c:v>62.47</c:v>
                </c:pt>
                <c:pt idx="3">
                  <c:v>76.33</c:v>
                </c:pt>
                <c:pt idx="4">
                  <c:v>87.64</c:v>
                </c:pt>
                <c:pt idx="5">
                  <c:v>97.82</c:v>
                </c:pt>
                <c:pt idx="6">
                  <c:v>107.76</c:v>
                </c:pt>
                <c:pt idx="7">
                  <c:v>118.13</c:v>
                </c:pt>
                <c:pt idx="8">
                  <c:v>129.52000000000001</c:v>
                </c:pt>
                <c:pt idx="9">
                  <c:v>142.4</c:v>
                </c:pt>
                <c:pt idx="10">
                  <c:v>157.01</c:v>
                </c:pt>
                <c:pt idx="11">
                  <c:v>173.07</c:v>
                </c:pt>
                <c:pt idx="12">
                  <c:v>189.66</c:v>
                </c:pt>
                <c:pt idx="13">
                  <c:v>205.54</c:v>
                </c:pt>
                <c:pt idx="14">
                  <c:v>219.88</c:v>
                </c:pt>
                <c:pt idx="15">
                  <c:v>232.51</c:v>
                </c:pt>
                <c:pt idx="16">
                  <c:v>243.71</c:v>
                </c:pt>
                <c:pt idx="17">
                  <c:v>254</c:v>
                </c:pt>
                <c:pt idx="18">
                  <c:v>263.95</c:v>
                </c:pt>
                <c:pt idx="19">
                  <c:v>274.05</c:v>
                </c:pt>
                <c:pt idx="20">
                  <c:v>285.69</c:v>
                </c:pt>
                <c:pt idx="21">
                  <c:v>292.45</c:v>
                </c:pt>
                <c:pt idx="22">
                  <c:v>319.92</c:v>
                </c:pt>
                <c:pt idx="23">
                  <c:v>347.06</c:v>
                </c:pt>
              </c:numCache>
            </c:numRef>
          </c:yVal>
          <c:smooth val="1"/>
        </c:ser>
        <c:ser>
          <c:idx val="2"/>
          <c:order val="2"/>
          <c:tx>
            <c:strRef>
              <c:f>Estimator!$L$39</c:f>
              <c:strCache>
                <c:ptCount val="1"/>
                <c:pt idx="0">
                  <c:v>AZ, Sp</c:v>
                </c:pt>
              </c:strCache>
            </c:strRef>
          </c:tx>
          <c:spPr>
            <a:ln>
              <a:solidFill>
                <a:srgbClr val="00B050"/>
              </a:solidFill>
              <a:prstDash val="lgDash"/>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Estimator!$L$40:$L$63</c:f>
              <c:numCache>
                <c:formatCode>0.00</c:formatCode>
                <c:ptCount val="24"/>
                <c:pt idx="0">
                  <c:v>14.25</c:v>
                </c:pt>
                <c:pt idx="1">
                  <c:v>29.65</c:v>
                </c:pt>
                <c:pt idx="2">
                  <c:v>43.42</c:v>
                </c:pt>
                <c:pt idx="3">
                  <c:v>55.54</c:v>
                </c:pt>
                <c:pt idx="4">
                  <c:v>66.37</c:v>
                </c:pt>
                <c:pt idx="5">
                  <c:v>76.45</c:v>
                </c:pt>
                <c:pt idx="6">
                  <c:v>86.38</c:v>
                </c:pt>
                <c:pt idx="7">
                  <c:v>96.91</c:v>
                </c:pt>
                <c:pt idx="8">
                  <c:v>109.14</c:v>
                </c:pt>
                <c:pt idx="9">
                  <c:v>124.81</c:v>
                </c:pt>
                <c:pt idx="10">
                  <c:v>146.63</c:v>
                </c:pt>
                <c:pt idx="11">
                  <c:v>175.9</c:v>
                </c:pt>
                <c:pt idx="12">
                  <c:v>206.46</c:v>
                </c:pt>
                <c:pt idx="13">
                  <c:v>230.3</c:v>
                </c:pt>
                <c:pt idx="14">
                  <c:v>247.3</c:v>
                </c:pt>
                <c:pt idx="15">
                  <c:v>260.22000000000003</c:v>
                </c:pt>
                <c:pt idx="16">
                  <c:v>271.08</c:v>
                </c:pt>
                <c:pt idx="17">
                  <c:v>281.10000000000002</c:v>
                </c:pt>
                <c:pt idx="18">
                  <c:v>291.08</c:v>
                </c:pt>
                <c:pt idx="19">
                  <c:v>301.49</c:v>
                </c:pt>
                <c:pt idx="20">
                  <c:v>313.25</c:v>
                </c:pt>
                <c:pt idx="21">
                  <c:v>319.7</c:v>
                </c:pt>
                <c:pt idx="22">
                  <c:v>341.61</c:v>
                </c:pt>
                <c:pt idx="23">
                  <c:v>357.86</c:v>
                </c:pt>
              </c:numCache>
            </c:numRef>
          </c:yVal>
          <c:smooth val="1"/>
        </c:ser>
        <c:ser>
          <c:idx val="4"/>
          <c:order val="4"/>
          <c:tx>
            <c:strRef>
              <c:f>Estimator!$N$39</c:f>
              <c:strCache>
                <c:ptCount val="1"/>
                <c:pt idx="0">
                  <c:v>AZ, Su</c:v>
                </c:pt>
              </c:strCache>
            </c:strRef>
          </c:tx>
          <c:spPr>
            <a:ln>
              <a:solidFill>
                <a:srgbClr val="FF0000"/>
              </a:solidFill>
              <a:prstDash val="lgDash"/>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Estimator!$N$40:$N$63</c:f>
              <c:numCache>
                <c:formatCode>0.00</c:formatCode>
                <c:ptCount val="24"/>
                <c:pt idx="0">
                  <c:v>11.7</c:v>
                </c:pt>
                <c:pt idx="1">
                  <c:v>27.29</c:v>
                </c:pt>
                <c:pt idx="2">
                  <c:v>41.32</c:v>
                </c:pt>
                <c:pt idx="3">
                  <c:v>53.68</c:v>
                </c:pt>
                <c:pt idx="4">
                  <c:v>64.69</c:v>
                </c:pt>
                <c:pt idx="5">
                  <c:v>74.87</c:v>
                </c:pt>
                <c:pt idx="6">
                  <c:v>84.79</c:v>
                </c:pt>
                <c:pt idx="7">
                  <c:v>95.19</c:v>
                </c:pt>
                <c:pt idx="8">
                  <c:v>107.08</c:v>
                </c:pt>
                <c:pt idx="9">
                  <c:v>122.08</c:v>
                </c:pt>
                <c:pt idx="10">
                  <c:v>142.77000000000001</c:v>
                </c:pt>
                <c:pt idx="11">
                  <c:v>171.02</c:v>
                </c:pt>
                <c:pt idx="12">
                  <c:v>201.97</c:v>
                </c:pt>
                <c:pt idx="13">
                  <c:v>226.97</c:v>
                </c:pt>
                <c:pt idx="14">
                  <c:v>244.83</c:v>
                </c:pt>
                <c:pt idx="15">
                  <c:v>258.22000000000003</c:v>
                </c:pt>
                <c:pt idx="16">
                  <c:v>269.3</c:v>
                </c:pt>
                <c:pt idx="17">
                  <c:v>279.38</c:v>
                </c:pt>
                <c:pt idx="18">
                  <c:v>289.33</c:v>
                </c:pt>
                <c:pt idx="19">
                  <c:v>299.95</c:v>
                </c:pt>
                <c:pt idx="20">
                  <c:v>311.47000000000003</c:v>
                </c:pt>
                <c:pt idx="21">
                  <c:v>317.77</c:v>
                </c:pt>
                <c:pt idx="22">
                  <c:v>339.23</c:v>
                </c:pt>
                <c:pt idx="23">
                  <c:v>355.29</c:v>
                </c:pt>
              </c:numCache>
            </c:numRef>
          </c:yVal>
          <c:smooth val="1"/>
        </c:ser>
        <c:ser>
          <c:idx val="6"/>
          <c:order val="6"/>
          <c:tx>
            <c:strRef>
              <c:f>Estimator!$P$39</c:f>
              <c:strCache>
                <c:ptCount val="1"/>
                <c:pt idx="0">
                  <c:v>AZ, F</c:v>
                </c:pt>
              </c:strCache>
            </c:strRef>
          </c:tx>
          <c:spPr>
            <a:ln>
              <a:solidFill>
                <a:schemeClr val="accent6">
                  <a:lumMod val="75000"/>
                </a:schemeClr>
              </a:solidFill>
              <a:prstDash val="lgDash"/>
            </a:ln>
          </c:spPr>
          <c:marker>
            <c:symbol val="none"/>
          </c:marker>
          <c:xVal>
            <c:numRef>
              <c:f>Estimator!$I$40:$I$63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Estimator!$P$40:$P$63</c:f>
              <c:numCache>
                <c:formatCode>0.00</c:formatCode>
                <c:ptCount val="24"/>
                <c:pt idx="0">
                  <c:v>31.32</c:v>
                </c:pt>
                <c:pt idx="1">
                  <c:v>53.2</c:v>
                </c:pt>
                <c:pt idx="2">
                  <c:v>69.13</c:v>
                </c:pt>
                <c:pt idx="3">
                  <c:v>81.569999999999993</c:v>
                </c:pt>
                <c:pt idx="4">
                  <c:v>92.25</c:v>
                </c:pt>
                <c:pt idx="5">
                  <c:v>102.28</c:v>
                </c:pt>
                <c:pt idx="6">
                  <c:v>112.42</c:v>
                </c:pt>
                <c:pt idx="7">
                  <c:v>123.29</c:v>
                </c:pt>
                <c:pt idx="8">
                  <c:v>135.44999999999999</c:v>
                </c:pt>
                <c:pt idx="9">
                  <c:v>149.29</c:v>
                </c:pt>
                <c:pt idx="10">
                  <c:v>164.85</c:v>
                </c:pt>
                <c:pt idx="11">
                  <c:v>181.48</c:v>
                </c:pt>
                <c:pt idx="12">
                  <c:v>197.98</c:v>
                </c:pt>
                <c:pt idx="13">
                  <c:v>213.25</c:v>
                </c:pt>
                <c:pt idx="14">
                  <c:v>226.76</c:v>
                </c:pt>
                <c:pt idx="15">
                  <c:v>238.63</c:v>
                </c:pt>
                <c:pt idx="16">
                  <c:v>249.31</c:v>
                </c:pt>
                <c:pt idx="17">
                  <c:v>259.36</c:v>
                </c:pt>
                <c:pt idx="18">
                  <c:v>269.41000000000003</c:v>
                </c:pt>
                <c:pt idx="19">
                  <c:v>280.54000000000002</c:v>
                </c:pt>
                <c:pt idx="20">
                  <c:v>293.43</c:v>
                </c:pt>
                <c:pt idx="21">
                  <c:v>301.17</c:v>
                </c:pt>
                <c:pt idx="22">
                  <c:v>333.31</c:v>
                </c:pt>
                <c:pt idx="23">
                  <c:v>2.7</c:v>
                </c:pt>
              </c:numCache>
            </c:numRef>
          </c:yVal>
          <c:smooth val="1"/>
        </c:ser>
        <c:axId val="166496128"/>
        <c:axId val="166494208"/>
      </c:scatterChart>
      <c:valAx>
        <c:axId val="166486016"/>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6487936"/>
        <c:crosses val="autoZero"/>
        <c:crossBetween val="midCat"/>
        <c:majorUnit val="4"/>
        <c:minorUnit val="1"/>
      </c:valAx>
      <c:valAx>
        <c:axId val="166487936"/>
        <c:scaling>
          <c:orientation val="minMax"/>
          <c:max val="90"/>
        </c:scaling>
        <c:axPos val="l"/>
        <c:majorGridlines/>
        <c:title>
          <c:tx>
            <c:rich>
              <a:bodyPr/>
              <a:lstStyle/>
              <a:p>
                <a:pPr>
                  <a:defRPr sz="1400"/>
                </a:pPr>
                <a:r>
                  <a:rPr lang="en-US" sz="1400"/>
                  <a:t>Sun Zenith (deg)</a:t>
                </a:r>
              </a:p>
            </c:rich>
          </c:tx>
          <c:layout>
            <c:manualLayout>
              <c:xMode val="edge"/>
              <c:yMode val="edge"/>
              <c:x val="1.6111112008094997E-2"/>
              <c:y val="0.38409919959095623"/>
            </c:manualLayout>
          </c:layout>
        </c:title>
        <c:numFmt formatCode="0" sourceLinked="0"/>
        <c:minorTickMark val="out"/>
        <c:tickLblPos val="nextTo"/>
        <c:txPr>
          <a:bodyPr/>
          <a:lstStyle/>
          <a:p>
            <a:pPr>
              <a:defRPr sz="1400" b="1"/>
            </a:pPr>
            <a:endParaRPr lang="en-US"/>
          </a:p>
        </c:txPr>
        <c:crossAx val="166486016"/>
        <c:crosses val="autoZero"/>
        <c:crossBetween val="midCat"/>
        <c:majorUnit val="10"/>
        <c:minorUnit val="2"/>
      </c:valAx>
      <c:valAx>
        <c:axId val="166494208"/>
        <c:scaling>
          <c:orientation val="minMax"/>
          <c:max val="360"/>
        </c:scaling>
        <c:axPos val="r"/>
        <c:title>
          <c:tx>
            <c:rich>
              <a:bodyPr rot="-5400000" vert="horz"/>
              <a:lstStyle/>
              <a:p>
                <a:pPr>
                  <a:defRPr sz="1400"/>
                </a:pPr>
                <a:r>
                  <a:rPr lang="en-US" sz="1400"/>
                  <a:t>Sun Azimuth (deg)</a:t>
                </a:r>
              </a:p>
            </c:rich>
          </c:tx>
          <c:layout/>
        </c:title>
        <c:numFmt formatCode="0" sourceLinked="0"/>
        <c:minorTickMark val="out"/>
        <c:tickLblPos val="nextTo"/>
        <c:txPr>
          <a:bodyPr/>
          <a:lstStyle/>
          <a:p>
            <a:pPr>
              <a:defRPr sz="1400" b="1"/>
            </a:pPr>
            <a:endParaRPr lang="en-US"/>
          </a:p>
        </c:txPr>
        <c:crossAx val="166496128"/>
        <c:crosses val="max"/>
        <c:crossBetween val="midCat"/>
        <c:majorUnit val="40"/>
        <c:minorUnit val="8"/>
      </c:valAx>
      <c:valAx>
        <c:axId val="166496128"/>
        <c:scaling>
          <c:orientation val="minMax"/>
        </c:scaling>
        <c:delete val="1"/>
        <c:axPos val="b"/>
        <c:numFmt formatCode="General" sourceLinked="1"/>
        <c:tickLblPos val="none"/>
        <c:crossAx val="166494208"/>
        <c:crosses val="autoZero"/>
        <c:crossBetween val="midCat"/>
      </c:valAx>
    </c:plotArea>
    <c:legend>
      <c:legendPos val="r"/>
      <c:layout>
        <c:manualLayout>
          <c:xMode val="edge"/>
          <c:yMode val="edge"/>
          <c:x val="0.67685503251400858"/>
          <c:y val="0.48416145928063681"/>
          <c:w val="0.13347323975433636"/>
          <c:h val="0.29209651714590046"/>
        </c:manualLayout>
      </c:layout>
      <c:spPr>
        <a:solidFill>
          <a:schemeClr val="bg1"/>
        </a:solidFill>
        <a:ln>
          <a:solidFill>
            <a:schemeClr val="tx1"/>
          </a:solidFill>
        </a:ln>
      </c:spPr>
      <c:txPr>
        <a:bodyPr/>
        <a:lstStyle/>
        <a:p>
          <a:pPr>
            <a:defRPr sz="1200"/>
          </a:pPr>
          <a:endParaRPr lang="en-US"/>
        </a:p>
      </c:txPr>
    </c:legend>
    <c:plotVisOnly val="1"/>
  </c:chart>
  <c:spPr>
    <a:ln w="12700">
      <a:solidFill>
        <a:schemeClr val="tx1"/>
      </a:solid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Arbitrated Cosine of the Total</a:t>
            </a:r>
            <a:r>
              <a:rPr lang="en-US" baseline="0"/>
              <a:t> Angle </a:t>
            </a:r>
            <a:r>
              <a:rPr lang="en-US" baseline="0">
                <a:latin typeface="Symbol" pitchFamily="18" charset="2"/>
              </a:rPr>
              <a:t>s</a:t>
            </a:r>
            <a:endParaRPr lang="en-US">
              <a:latin typeface="Symbol" pitchFamily="18" charset="2"/>
            </a:endParaRPr>
          </a:p>
        </c:rich>
      </c:tx>
      <c:layout/>
    </c:title>
    <c:plotArea>
      <c:layout>
        <c:manualLayout>
          <c:layoutTarget val="inner"/>
          <c:xMode val="edge"/>
          <c:yMode val="edge"/>
          <c:x val="0.11352221661222871"/>
          <c:y val="9.1820641217568014E-2"/>
          <c:w val="0.81142929436097333"/>
          <c:h val="0.78992474145376068"/>
        </c:manualLayout>
      </c:layout>
      <c:scatterChart>
        <c:scatterStyle val="smoothMarker"/>
        <c:ser>
          <c:idx val="0"/>
          <c:order val="0"/>
          <c:tx>
            <c:strRef>
              <c:f>Estimator!$V$68</c:f>
              <c:strCache>
                <c:ptCount val="1"/>
                <c:pt idx="0">
                  <c:v>Winter</c:v>
                </c:pt>
              </c:strCache>
            </c:strRef>
          </c:tx>
          <c:spPr>
            <a:ln>
              <a:solidFill>
                <a:srgbClr val="0070C0"/>
              </a:solidFill>
            </a:ln>
          </c:spPr>
          <c:marker>
            <c:symbol val="none"/>
          </c:marker>
          <c:xVal>
            <c:numRef>
              <c:f>Estimator!$U$69:$U$92</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Estimator!$V$69:$V$92</c:f>
              <c:numCache>
                <c:formatCode>0.0000</c:formatCode>
                <c:ptCount val="24"/>
                <c:pt idx="0">
                  <c:v>6.1257422745431001E-17</c:v>
                </c:pt>
                <c:pt idx="1">
                  <c:v>6.1257422745431001E-17</c:v>
                </c:pt>
                <c:pt idx="2">
                  <c:v>6.1257422745431001E-17</c:v>
                </c:pt>
                <c:pt idx="3">
                  <c:v>6.1257422745431001E-17</c:v>
                </c:pt>
                <c:pt idx="4">
                  <c:v>6.1257422745431001E-17</c:v>
                </c:pt>
                <c:pt idx="5">
                  <c:v>6.1257422745431001E-17</c:v>
                </c:pt>
                <c:pt idx="6">
                  <c:v>6.1257422745431001E-17</c:v>
                </c:pt>
                <c:pt idx="7">
                  <c:v>0.38800036954553385</c:v>
                </c:pt>
                <c:pt idx="8">
                  <c:v>0.6026280394092578</c:v>
                </c:pt>
                <c:pt idx="9">
                  <c:v>0.77587659187296554</c:v>
                </c:pt>
                <c:pt idx="10">
                  <c:v>0.8964799753149908</c:v>
                </c:pt>
                <c:pt idx="11">
                  <c:v>0.95613510984806371</c:v>
                </c:pt>
                <c:pt idx="12">
                  <c:v>0.95054900485732041</c:v>
                </c:pt>
                <c:pt idx="13">
                  <c:v>0.88055395111138712</c:v>
                </c:pt>
                <c:pt idx="14">
                  <c:v>0.74747018065165727</c:v>
                </c:pt>
                <c:pt idx="15">
                  <c:v>0.569628531701871</c:v>
                </c:pt>
                <c:pt idx="16">
                  <c:v>0.35003855529169337</c:v>
                </c:pt>
                <c:pt idx="17">
                  <c:v>6.1257422745431001E-17</c:v>
                </c:pt>
                <c:pt idx="18">
                  <c:v>6.1257422745431001E-17</c:v>
                </c:pt>
                <c:pt idx="19">
                  <c:v>6.1257422745431001E-17</c:v>
                </c:pt>
                <c:pt idx="20">
                  <c:v>6.1257422745431001E-17</c:v>
                </c:pt>
                <c:pt idx="21">
                  <c:v>6.1257422745431001E-17</c:v>
                </c:pt>
                <c:pt idx="22">
                  <c:v>6.1257422745431001E-17</c:v>
                </c:pt>
                <c:pt idx="23">
                  <c:v>6.1257422745431001E-17</c:v>
                </c:pt>
              </c:numCache>
            </c:numRef>
          </c:yVal>
          <c:smooth val="1"/>
        </c:ser>
        <c:ser>
          <c:idx val="1"/>
          <c:order val="1"/>
          <c:tx>
            <c:strRef>
              <c:f>Estimator!$W$68</c:f>
              <c:strCache>
                <c:ptCount val="1"/>
                <c:pt idx="0">
                  <c:v>Spring</c:v>
                </c:pt>
              </c:strCache>
            </c:strRef>
          </c:tx>
          <c:spPr>
            <a:ln>
              <a:solidFill>
                <a:srgbClr val="00B050"/>
              </a:solidFill>
            </a:ln>
          </c:spPr>
          <c:marker>
            <c:symbol val="none"/>
          </c:marker>
          <c:xVal>
            <c:numRef>
              <c:f>Estimator!$U$69:$U$92</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Estimator!$W$69:$W$92</c:f>
              <c:numCache>
                <c:formatCode>0.0000</c:formatCode>
                <c:ptCount val="24"/>
                <c:pt idx="0">
                  <c:v>6.1257422745431001E-17</c:v>
                </c:pt>
                <c:pt idx="1">
                  <c:v>6.1257422745431001E-17</c:v>
                </c:pt>
                <c:pt idx="2">
                  <c:v>6.1257422745431001E-17</c:v>
                </c:pt>
                <c:pt idx="3">
                  <c:v>6.1257422745431001E-17</c:v>
                </c:pt>
                <c:pt idx="4">
                  <c:v>6.1257422745431001E-17</c:v>
                </c:pt>
                <c:pt idx="5">
                  <c:v>6.1257422745431001E-17</c:v>
                </c:pt>
                <c:pt idx="6">
                  <c:v>0.21408087209458537</c:v>
                </c:pt>
                <c:pt idx="7">
                  <c:v>0.44870199690237034</c:v>
                </c:pt>
                <c:pt idx="8">
                  <c:v>0.65258518236681862</c:v>
                </c:pt>
                <c:pt idx="9">
                  <c:v>0.81045844204305528</c:v>
                </c:pt>
                <c:pt idx="10">
                  <c:v>0.91417382015485305</c:v>
                </c:pt>
                <c:pt idx="11">
                  <c:v>0.954988684715536</c:v>
                </c:pt>
                <c:pt idx="12">
                  <c:v>0.93081693094258888</c:v>
                </c:pt>
                <c:pt idx="13">
                  <c:v>0.84298042969509024</c:v>
                </c:pt>
                <c:pt idx="14">
                  <c:v>0.6975922870261384</c:v>
                </c:pt>
                <c:pt idx="15">
                  <c:v>0.50440872809384285</c:v>
                </c:pt>
                <c:pt idx="16">
                  <c:v>0.27703217295110194</c:v>
                </c:pt>
                <c:pt idx="17">
                  <c:v>6.1257422745431001E-17</c:v>
                </c:pt>
                <c:pt idx="18">
                  <c:v>6.1257422745431001E-17</c:v>
                </c:pt>
                <c:pt idx="19">
                  <c:v>6.1257422745431001E-17</c:v>
                </c:pt>
                <c:pt idx="20">
                  <c:v>6.1257422745431001E-17</c:v>
                </c:pt>
                <c:pt idx="21">
                  <c:v>6.1257422745431001E-17</c:v>
                </c:pt>
                <c:pt idx="22">
                  <c:v>6.1257422745431001E-17</c:v>
                </c:pt>
                <c:pt idx="23">
                  <c:v>6.1257422745431001E-17</c:v>
                </c:pt>
              </c:numCache>
            </c:numRef>
          </c:yVal>
          <c:smooth val="1"/>
        </c:ser>
        <c:ser>
          <c:idx val="2"/>
          <c:order val="2"/>
          <c:tx>
            <c:strRef>
              <c:f>Estimator!$X$68</c:f>
              <c:strCache>
                <c:ptCount val="1"/>
                <c:pt idx="0">
                  <c:v>Summer</c:v>
                </c:pt>
              </c:strCache>
            </c:strRef>
          </c:tx>
          <c:spPr>
            <a:ln>
              <a:solidFill>
                <a:srgbClr val="FF0000"/>
              </a:solidFill>
            </a:ln>
          </c:spPr>
          <c:marker>
            <c:symbol val="none"/>
          </c:marker>
          <c:xVal>
            <c:numRef>
              <c:f>Estimator!$U$69:$U$92</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Estimator!$X$69:$X$92</c:f>
              <c:numCache>
                <c:formatCode>0.0000</c:formatCode>
                <c:ptCount val="24"/>
                <c:pt idx="0">
                  <c:v>6.1257422745431001E-17</c:v>
                </c:pt>
                <c:pt idx="1">
                  <c:v>6.1257422745431001E-17</c:v>
                </c:pt>
                <c:pt idx="2">
                  <c:v>6.1257422745431001E-17</c:v>
                </c:pt>
                <c:pt idx="3">
                  <c:v>6.1257422745431001E-17</c:v>
                </c:pt>
                <c:pt idx="4">
                  <c:v>6.1257422745431001E-17</c:v>
                </c:pt>
                <c:pt idx="5">
                  <c:v>6.1257422745431001E-17</c:v>
                </c:pt>
                <c:pt idx="6">
                  <c:v>0.17565178553115993</c:v>
                </c:pt>
                <c:pt idx="7">
                  <c:v>0.41512096463186887</c:v>
                </c:pt>
                <c:pt idx="8">
                  <c:v>0.62303873034483703</c:v>
                </c:pt>
                <c:pt idx="9">
                  <c:v>0.78958065138909428</c:v>
                </c:pt>
                <c:pt idx="10">
                  <c:v>0.90236333641246969</c:v>
                </c:pt>
                <c:pt idx="11">
                  <c:v>0.95313226847245847</c:v>
                </c:pt>
                <c:pt idx="12">
                  <c:v>0.93928658480952798</c:v>
                </c:pt>
                <c:pt idx="13">
                  <c:v>0.86126878591565104</c:v>
                </c:pt>
                <c:pt idx="14">
                  <c:v>0.72427360114080463</c:v>
                </c:pt>
                <c:pt idx="15">
                  <c:v>0.53772412790836976</c:v>
                </c:pt>
                <c:pt idx="16">
                  <c:v>0.31441073319307872</c:v>
                </c:pt>
                <c:pt idx="17">
                  <c:v>6.1257422745431001E-17</c:v>
                </c:pt>
                <c:pt idx="18">
                  <c:v>6.1257422745431001E-17</c:v>
                </c:pt>
                <c:pt idx="19">
                  <c:v>6.1257422745431001E-17</c:v>
                </c:pt>
                <c:pt idx="20">
                  <c:v>6.1257422745431001E-17</c:v>
                </c:pt>
                <c:pt idx="21">
                  <c:v>6.1257422745431001E-17</c:v>
                </c:pt>
                <c:pt idx="22">
                  <c:v>6.1257422745431001E-17</c:v>
                </c:pt>
                <c:pt idx="23">
                  <c:v>6.1257422745431001E-17</c:v>
                </c:pt>
              </c:numCache>
            </c:numRef>
          </c:yVal>
          <c:smooth val="1"/>
        </c:ser>
        <c:ser>
          <c:idx val="3"/>
          <c:order val="3"/>
          <c:tx>
            <c:strRef>
              <c:f>Estimator!$Y$68</c:f>
              <c:strCache>
                <c:ptCount val="1"/>
                <c:pt idx="0">
                  <c:v>Fall</c:v>
                </c:pt>
              </c:strCache>
            </c:strRef>
          </c:tx>
          <c:spPr>
            <a:ln>
              <a:solidFill>
                <a:schemeClr val="accent6">
                  <a:lumMod val="75000"/>
                </a:schemeClr>
              </a:solidFill>
            </a:ln>
          </c:spPr>
          <c:marker>
            <c:symbol val="none"/>
          </c:marker>
          <c:xVal>
            <c:numRef>
              <c:f>Estimator!$U$69:$U$92</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Estimator!$Y$69:$Y$92</c:f>
              <c:numCache>
                <c:formatCode>0.0000</c:formatCode>
                <c:ptCount val="24"/>
                <c:pt idx="0">
                  <c:v>6.1257422745431001E-17</c:v>
                </c:pt>
                <c:pt idx="1">
                  <c:v>6.1257422745431001E-17</c:v>
                </c:pt>
                <c:pt idx="2">
                  <c:v>6.1257422745431001E-17</c:v>
                </c:pt>
                <c:pt idx="3">
                  <c:v>6.1257422745431001E-17</c:v>
                </c:pt>
                <c:pt idx="4">
                  <c:v>6.1257422745431001E-17</c:v>
                </c:pt>
                <c:pt idx="5">
                  <c:v>6.1257422745431001E-17</c:v>
                </c:pt>
                <c:pt idx="6">
                  <c:v>0.27220600889249058</c:v>
                </c:pt>
                <c:pt idx="7">
                  <c:v>0.5021928864038907</c:v>
                </c:pt>
                <c:pt idx="8">
                  <c:v>0.68353436418039393</c:v>
                </c:pt>
                <c:pt idx="9">
                  <c:v>0.84403155738572389</c:v>
                </c:pt>
                <c:pt idx="10">
                  <c:v>0.93723700158187162</c:v>
                </c:pt>
                <c:pt idx="11">
                  <c:v>0.96417362317940225</c:v>
                </c:pt>
                <c:pt idx="12">
                  <c:v>0.91799992214043558</c:v>
                </c:pt>
                <c:pt idx="13">
                  <c:v>0.8233641636877469</c:v>
                </c:pt>
                <c:pt idx="14">
                  <c:v>0.66645304849680365</c:v>
                </c:pt>
                <c:pt idx="15">
                  <c:v>0.46373667071507441</c:v>
                </c:pt>
                <c:pt idx="16">
                  <c:v>0.22917425218747892</c:v>
                </c:pt>
                <c:pt idx="17">
                  <c:v>6.1257422745431001E-17</c:v>
                </c:pt>
                <c:pt idx="18">
                  <c:v>6.1257422745431001E-17</c:v>
                </c:pt>
                <c:pt idx="19">
                  <c:v>6.1257422745431001E-17</c:v>
                </c:pt>
                <c:pt idx="20">
                  <c:v>6.1257422745431001E-17</c:v>
                </c:pt>
                <c:pt idx="21">
                  <c:v>6.1257422745431001E-17</c:v>
                </c:pt>
                <c:pt idx="22">
                  <c:v>6.1257422745431001E-17</c:v>
                </c:pt>
                <c:pt idx="23">
                  <c:v>6.1257422745431001E-17</c:v>
                </c:pt>
              </c:numCache>
            </c:numRef>
          </c:yVal>
          <c:smooth val="1"/>
        </c:ser>
        <c:axId val="166597760"/>
        <c:axId val="166599680"/>
      </c:scatterChart>
      <c:valAx>
        <c:axId val="166597760"/>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6599680"/>
        <c:crosses val="autoZero"/>
        <c:crossBetween val="midCat"/>
        <c:majorUnit val="4"/>
        <c:minorUnit val="1"/>
      </c:valAx>
      <c:valAx>
        <c:axId val="166599680"/>
        <c:scaling>
          <c:orientation val="minMax"/>
          <c:max val="1"/>
          <c:min val="0"/>
        </c:scaling>
        <c:axPos val="l"/>
        <c:majorGridlines/>
        <c:title>
          <c:tx>
            <c:rich>
              <a:bodyPr/>
              <a:lstStyle/>
              <a:p>
                <a:pPr>
                  <a:defRPr sz="1400"/>
                </a:pPr>
                <a:r>
                  <a:rPr lang="en-US" sz="1400"/>
                  <a:t>COS(SIGMA) = COS(Angle-of-Incidence)</a:t>
                </a:r>
              </a:p>
            </c:rich>
          </c:tx>
          <c:layout>
            <c:manualLayout>
              <c:xMode val="edge"/>
              <c:yMode val="edge"/>
              <c:x val="2.4898991285237732E-2"/>
              <c:y val="0.25185523064067067"/>
            </c:manualLayout>
          </c:layout>
        </c:title>
        <c:numFmt formatCode="0.0" sourceLinked="0"/>
        <c:minorTickMark val="out"/>
        <c:tickLblPos val="nextTo"/>
        <c:txPr>
          <a:bodyPr/>
          <a:lstStyle/>
          <a:p>
            <a:pPr>
              <a:defRPr sz="1400" b="1"/>
            </a:pPr>
            <a:endParaRPr lang="en-US"/>
          </a:p>
        </c:txPr>
        <c:crossAx val="166597760"/>
        <c:crosses val="autoZero"/>
        <c:crossBetween val="midCat"/>
        <c:majorUnit val="0.1"/>
        <c:minorUnit val="2.0000000000000011E-2"/>
      </c:valAx>
    </c:plotArea>
    <c:legend>
      <c:legendPos val="r"/>
      <c:layout>
        <c:manualLayout>
          <c:xMode val="edge"/>
          <c:yMode val="edge"/>
          <c:x val="0.75497927928780006"/>
          <c:y val="0.2199879995879038"/>
          <c:w val="0.12052576428601279"/>
          <c:h val="0.1601822892487246"/>
        </c:manualLayout>
      </c:layout>
      <c:spPr>
        <a:solidFill>
          <a:schemeClr val="bg1"/>
        </a:solidFill>
        <a:ln>
          <a:solidFill>
            <a:schemeClr val="tx1"/>
          </a:solidFill>
        </a:ln>
      </c:spPr>
      <c:txPr>
        <a:bodyPr/>
        <a:lstStyle/>
        <a:p>
          <a:pPr>
            <a:defRPr sz="1200"/>
          </a:pPr>
          <a:endParaRPr lang="en-US"/>
        </a:p>
      </c:txPr>
    </c:legend>
    <c:plotVisOnly val="1"/>
  </c:chart>
  <c:spPr>
    <a:ln w="12700">
      <a:solidFill>
        <a:sysClr val="windowText" lastClr="000000"/>
      </a:solidFill>
    </a:ln>
  </c:spPr>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Power Generated</a:t>
            </a:r>
            <a:r>
              <a:rPr lang="en-US" baseline="0"/>
              <a:t> Due to Direct Solar Irradiance, Daily</a:t>
            </a:r>
            <a:endParaRPr lang="en-US"/>
          </a:p>
        </c:rich>
      </c:tx>
      <c:layout/>
    </c:title>
    <c:plotArea>
      <c:layout>
        <c:manualLayout>
          <c:layoutTarget val="inner"/>
          <c:xMode val="edge"/>
          <c:yMode val="edge"/>
          <c:x val="0.1244338333813476"/>
          <c:y val="8.9892435097930226E-2"/>
          <c:w val="0.81049918614089256"/>
          <c:h val="0.79185294757339864"/>
        </c:manualLayout>
      </c:layout>
      <c:scatterChart>
        <c:scatterStyle val="lineMarker"/>
        <c:ser>
          <c:idx val="0"/>
          <c:order val="0"/>
          <c:tx>
            <c:strRef>
              <c:f>Estimator!$P$97</c:f>
              <c:strCache>
                <c:ptCount val="1"/>
                <c:pt idx="0">
                  <c:v>Winter</c:v>
                </c:pt>
              </c:strCache>
            </c:strRef>
          </c:tx>
          <c:spPr>
            <a:ln w="28575">
              <a:noFill/>
            </a:ln>
          </c:spPr>
          <c:marker>
            <c:spPr>
              <a:solidFill>
                <a:srgbClr val="0070C0"/>
              </a:solidFill>
              <a:ln>
                <a:solidFill>
                  <a:srgbClr val="0070C0"/>
                </a:solidFill>
              </a:ln>
            </c:spPr>
          </c:marker>
          <c:xVal>
            <c:numRef>
              <c:f>Estimator!$O$98:$O$121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Estimator!$P$98:$P$121</c:f>
              <c:numCache>
                <c:formatCode>0.00</c:formatCode>
                <c:ptCount val="24"/>
                <c:pt idx="0">
                  <c:v>0</c:v>
                </c:pt>
                <c:pt idx="1">
                  <c:v>0</c:v>
                </c:pt>
                <c:pt idx="2">
                  <c:v>0</c:v>
                </c:pt>
                <c:pt idx="3">
                  <c:v>0</c:v>
                </c:pt>
                <c:pt idx="4">
                  <c:v>0</c:v>
                </c:pt>
                <c:pt idx="5">
                  <c:v>0</c:v>
                </c:pt>
                <c:pt idx="6">
                  <c:v>0</c:v>
                </c:pt>
                <c:pt idx="7">
                  <c:v>203.65086468550385</c:v>
                </c:pt>
                <c:pt idx="8">
                  <c:v>1068.0119672966616</c:v>
                </c:pt>
                <c:pt idx="9">
                  <c:v>1954.9819185516153</c:v>
                </c:pt>
                <c:pt idx="10">
                  <c:v>2614.6071112928976</c:v>
                </c:pt>
                <c:pt idx="11">
                  <c:v>2893.7494809103323</c:v>
                </c:pt>
                <c:pt idx="12">
                  <c:v>2876.8430957658279</c:v>
                </c:pt>
                <c:pt idx="13">
                  <c:v>2516.6316108145074</c:v>
                </c:pt>
                <c:pt idx="14">
                  <c:v>1825.1103404624073</c:v>
                </c:pt>
                <c:pt idx="15">
                  <c:v>942.94294460596018</c:v>
                </c:pt>
                <c:pt idx="16">
                  <c:v>130.8917153388646</c:v>
                </c:pt>
                <c:pt idx="17">
                  <c:v>0</c:v>
                </c:pt>
                <c:pt idx="18">
                  <c:v>0</c:v>
                </c:pt>
                <c:pt idx="19">
                  <c:v>0</c:v>
                </c:pt>
                <c:pt idx="20">
                  <c:v>0</c:v>
                </c:pt>
                <c:pt idx="21">
                  <c:v>0</c:v>
                </c:pt>
                <c:pt idx="22">
                  <c:v>0</c:v>
                </c:pt>
                <c:pt idx="23">
                  <c:v>0</c:v>
                </c:pt>
              </c:numCache>
            </c:numRef>
          </c:yVal>
        </c:ser>
        <c:ser>
          <c:idx val="1"/>
          <c:order val="1"/>
          <c:tx>
            <c:strRef>
              <c:f>Estimator!$Q$97</c:f>
              <c:strCache>
                <c:ptCount val="1"/>
                <c:pt idx="0">
                  <c:v>Spring</c:v>
                </c:pt>
              </c:strCache>
            </c:strRef>
          </c:tx>
          <c:spPr>
            <a:ln w="28575">
              <a:noFill/>
            </a:ln>
          </c:spPr>
          <c:marker>
            <c:spPr>
              <a:solidFill>
                <a:srgbClr val="00B050"/>
              </a:solidFill>
              <a:ln>
                <a:solidFill>
                  <a:srgbClr val="00B050"/>
                </a:solidFill>
              </a:ln>
            </c:spPr>
          </c:marker>
          <c:xVal>
            <c:numRef>
              <c:f>Estimator!$O$98:$O$121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Estimator!$Q$98:$Q$121</c:f>
              <c:numCache>
                <c:formatCode>0.00</c:formatCode>
                <c:ptCount val="24"/>
                <c:pt idx="0">
                  <c:v>0</c:v>
                </c:pt>
                <c:pt idx="1">
                  <c:v>0</c:v>
                </c:pt>
                <c:pt idx="2">
                  <c:v>0</c:v>
                </c:pt>
                <c:pt idx="3">
                  <c:v>0</c:v>
                </c:pt>
                <c:pt idx="4">
                  <c:v>0</c:v>
                </c:pt>
                <c:pt idx="5">
                  <c:v>4.6702597963268306E-14</c:v>
                </c:pt>
                <c:pt idx="6">
                  <c:v>303.45777980104043</c:v>
                </c:pt>
                <c:pt idx="7">
                  <c:v>839.25381937248926</c:v>
                </c:pt>
                <c:pt idx="8">
                  <c:v>1407.0430676997498</c:v>
                </c:pt>
                <c:pt idx="9">
                  <c:v>1874.655632600623</c:v>
                </c:pt>
                <c:pt idx="10">
                  <c:v>2204.8572331871719</c:v>
                </c:pt>
                <c:pt idx="11">
                  <c:v>2339.7010025000295</c:v>
                </c:pt>
                <c:pt idx="12">
                  <c:v>2254.5557803782344</c:v>
                </c:pt>
                <c:pt idx="13">
                  <c:v>1984.3112928243729</c:v>
                </c:pt>
                <c:pt idx="14">
                  <c:v>1531.9111371717529</c:v>
                </c:pt>
                <c:pt idx="15">
                  <c:v>989.33372554956861</c:v>
                </c:pt>
                <c:pt idx="16">
                  <c:v>433.15123215611942</c:v>
                </c:pt>
                <c:pt idx="17">
                  <c:v>5.6153644358330738E-14</c:v>
                </c:pt>
                <c:pt idx="18">
                  <c:v>6.2276829211776444E-15</c:v>
                </c:pt>
                <c:pt idx="19">
                  <c:v>0</c:v>
                </c:pt>
                <c:pt idx="20">
                  <c:v>0</c:v>
                </c:pt>
                <c:pt idx="21">
                  <c:v>0</c:v>
                </c:pt>
                <c:pt idx="22">
                  <c:v>0</c:v>
                </c:pt>
                <c:pt idx="23">
                  <c:v>0</c:v>
                </c:pt>
              </c:numCache>
            </c:numRef>
          </c:yVal>
        </c:ser>
        <c:ser>
          <c:idx val="2"/>
          <c:order val="2"/>
          <c:tx>
            <c:strRef>
              <c:f>Estimator!$R$97</c:f>
              <c:strCache>
                <c:ptCount val="1"/>
                <c:pt idx="0">
                  <c:v>Summer</c:v>
                </c:pt>
              </c:strCache>
            </c:strRef>
          </c:tx>
          <c:spPr>
            <a:ln w="28575">
              <a:noFill/>
            </a:ln>
          </c:spPr>
          <c:marker>
            <c:spPr>
              <a:solidFill>
                <a:srgbClr val="FF0000"/>
              </a:solidFill>
              <a:ln>
                <a:solidFill>
                  <a:srgbClr val="FF0000"/>
                </a:solidFill>
              </a:ln>
            </c:spPr>
          </c:marker>
          <c:xVal>
            <c:numRef>
              <c:f>Estimator!$O$98:$O$121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Estimator!$R$98:$R$121</c:f>
              <c:numCache>
                <c:formatCode>0.00</c:formatCode>
                <c:ptCount val="24"/>
                <c:pt idx="0">
                  <c:v>0</c:v>
                </c:pt>
                <c:pt idx="1">
                  <c:v>0</c:v>
                </c:pt>
                <c:pt idx="2">
                  <c:v>0</c:v>
                </c:pt>
                <c:pt idx="3">
                  <c:v>0</c:v>
                </c:pt>
                <c:pt idx="4">
                  <c:v>0</c:v>
                </c:pt>
                <c:pt idx="5">
                  <c:v>3.3406153252887209E-14</c:v>
                </c:pt>
                <c:pt idx="6">
                  <c:v>218.81634136345099</c:v>
                </c:pt>
                <c:pt idx="7">
                  <c:v>696.54457590936067</c:v>
                </c:pt>
                <c:pt idx="8">
                  <c:v>1202.1793542224866</c:v>
                </c:pt>
                <c:pt idx="9">
                  <c:v>1656.8880231254923</c:v>
                </c:pt>
                <c:pt idx="10">
                  <c:v>1978.6803660333967</c:v>
                </c:pt>
                <c:pt idx="11">
                  <c:v>2124.7258806340283</c:v>
                </c:pt>
                <c:pt idx="12">
                  <c:v>2085.8134570545062</c:v>
                </c:pt>
                <c:pt idx="13">
                  <c:v>1861.3231858184822</c:v>
                </c:pt>
                <c:pt idx="14">
                  <c:v>1476.7978300240484</c:v>
                </c:pt>
                <c:pt idx="15">
                  <c:v>989.92783097779386</c:v>
                </c:pt>
                <c:pt idx="16">
                  <c:v>473.89104095639203</c:v>
                </c:pt>
                <c:pt idx="17">
                  <c:v>5.9248025924121971E-14</c:v>
                </c:pt>
                <c:pt idx="18">
                  <c:v>9.6746451301483954E-15</c:v>
                </c:pt>
                <c:pt idx="19">
                  <c:v>0</c:v>
                </c:pt>
                <c:pt idx="20">
                  <c:v>0</c:v>
                </c:pt>
                <c:pt idx="21">
                  <c:v>0</c:v>
                </c:pt>
                <c:pt idx="22">
                  <c:v>0</c:v>
                </c:pt>
                <c:pt idx="23">
                  <c:v>0</c:v>
                </c:pt>
              </c:numCache>
            </c:numRef>
          </c:yVal>
        </c:ser>
        <c:ser>
          <c:idx val="3"/>
          <c:order val="3"/>
          <c:tx>
            <c:strRef>
              <c:f>Estimator!$S$97</c:f>
              <c:strCache>
                <c:ptCount val="1"/>
                <c:pt idx="0">
                  <c:v>Fall</c:v>
                </c:pt>
              </c:strCache>
            </c:strRef>
          </c:tx>
          <c:spPr>
            <a:ln w="28575">
              <a:noFill/>
            </a:ln>
          </c:spPr>
          <c:marker>
            <c:symbol val="circle"/>
            <c:size val="7"/>
            <c:spPr>
              <a:solidFill>
                <a:schemeClr val="accent6">
                  <a:lumMod val="75000"/>
                </a:schemeClr>
              </a:solidFill>
              <a:ln>
                <a:solidFill>
                  <a:schemeClr val="accent6">
                    <a:lumMod val="75000"/>
                  </a:schemeClr>
                </a:solidFill>
              </a:ln>
            </c:spPr>
          </c:marker>
          <c:xVal>
            <c:numRef>
              <c:f>Estimator!$O$98:$O$121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Estimator!$S$98:$S$121</c:f>
              <c:numCache>
                <c:formatCode>0.00</c:formatCode>
                <c:ptCount val="24"/>
                <c:pt idx="0">
                  <c:v>0</c:v>
                </c:pt>
                <c:pt idx="1">
                  <c:v>0</c:v>
                </c:pt>
                <c:pt idx="2">
                  <c:v>0</c:v>
                </c:pt>
                <c:pt idx="3">
                  <c:v>0</c:v>
                </c:pt>
                <c:pt idx="4">
                  <c:v>0</c:v>
                </c:pt>
                <c:pt idx="5">
                  <c:v>0</c:v>
                </c:pt>
                <c:pt idx="6">
                  <c:v>7.0659470096146997</c:v>
                </c:pt>
                <c:pt idx="7">
                  <c:v>567.33807628422358</c:v>
                </c:pt>
                <c:pt idx="8">
                  <c:v>1148.1496469705653</c:v>
                </c:pt>
                <c:pt idx="9">
                  <c:v>1855.0735593314012</c:v>
                </c:pt>
                <c:pt idx="10">
                  <c:v>2281.7037873355034</c:v>
                </c:pt>
                <c:pt idx="11">
                  <c:v>2386.8333708720284</c:v>
                </c:pt>
                <c:pt idx="12">
                  <c:v>2153.6576206131062</c:v>
                </c:pt>
                <c:pt idx="13">
                  <c:v>1809.6492677229676</c:v>
                </c:pt>
                <c:pt idx="14">
                  <c:v>1170.6562668354654</c:v>
                </c:pt>
                <c:pt idx="15">
                  <c:v>421.35491598508764</c:v>
                </c:pt>
                <c:pt idx="16">
                  <c:v>0</c:v>
                </c:pt>
                <c:pt idx="17">
                  <c:v>0</c:v>
                </c:pt>
                <c:pt idx="18">
                  <c:v>0</c:v>
                </c:pt>
                <c:pt idx="19">
                  <c:v>0</c:v>
                </c:pt>
                <c:pt idx="20">
                  <c:v>0</c:v>
                </c:pt>
                <c:pt idx="21">
                  <c:v>0</c:v>
                </c:pt>
                <c:pt idx="22">
                  <c:v>0</c:v>
                </c:pt>
                <c:pt idx="23">
                  <c:v>0</c:v>
                </c:pt>
              </c:numCache>
            </c:numRef>
          </c:yVal>
        </c:ser>
        <c:axId val="166651392"/>
        <c:axId val="166735872"/>
      </c:scatterChart>
      <c:valAx>
        <c:axId val="166651392"/>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6735872"/>
        <c:crosses val="autoZero"/>
        <c:crossBetween val="midCat"/>
        <c:majorUnit val="6"/>
      </c:valAx>
      <c:valAx>
        <c:axId val="166735872"/>
        <c:scaling>
          <c:orientation val="minMax"/>
        </c:scaling>
        <c:axPos val="l"/>
        <c:majorGridlines/>
        <c:title>
          <c:tx>
            <c:rich>
              <a:bodyPr/>
              <a:lstStyle/>
              <a:p>
                <a:pPr>
                  <a:defRPr sz="1400"/>
                </a:pPr>
                <a:r>
                  <a:rPr lang="en-US" sz="1400"/>
                  <a:t>Power, Watt-hours</a:t>
                </a:r>
              </a:p>
            </c:rich>
          </c:tx>
          <c:layout>
            <c:manualLayout>
              <c:xMode val="edge"/>
              <c:yMode val="edge"/>
              <c:x val="2.1969698192856817E-2"/>
              <c:y val="0.37016215501200089"/>
            </c:manualLayout>
          </c:layout>
        </c:title>
        <c:numFmt formatCode="0" sourceLinked="0"/>
        <c:tickLblPos val="nextTo"/>
        <c:txPr>
          <a:bodyPr/>
          <a:lstStyle/>
          <a:p>
            <a:pPr>
              <a:defRPr sz="1400" b="1"/>
            </a:pPr>
            <a:endParaRPr lang="en-US"/>
          </a:p>
        </c:txPr>
        <c:crossAx val="166651392"/>
        <c:crosses val="autoZero"/>
        <c:crossBetween val="midCat"/>
      </c:valAx>
    </c:plotArea>
    <c:legend>
      <c:legendPos val="r"/>
      <c:layout>
        <c:manualLayout>
          <c:xMode val="edge"/>
          <c:yMode val="edge"/>
          <c:x val="0.78567815556945164"/>
          <c:y val="0.35155308989943113"/>
          <c:w val="8.8362241458169816E-2"/>
          <c:h val="0.16559869146539888"/>
        </c:manualLayout>
      </c:layout>
      <c:spPr>
        <a:solidFill>
          <a:sysClr val="window" lastClr="FFFFFF"/>
        </a:solidFill>
        <a:ln>
          <a:solidFill>
            <a:sysClr val="windowText" lastClr="000000"/>
          </a:solidFill>
        </a:ln>
      </c:spPr>
      <c:txPr>
        <a:bodyPr/>
        <a:lstStyle/>
        <a:p>
          <a:pPr>
            <a:defRPr sz="1200"/>
          </a:pPr>
          <a:endParaRPr lang="en-US"/>
        </a:p>
      </c:txPr>
    </c:legend>
    <c:plotVisOnly val="1"/>
  </c:chart>
  <c:spPr>
    <a:ln w="12700">
      <a:solidFill>
        <a:schemeClr val="tx1"/>
      </a:solidFill>
    </a:ln>
  </c:spPr>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Power Generated Due to Diffuse Sky Radiance, Daily</a:t>
            </a:r>
          </a:p>
        </c:rich>
      </c:tx>
      <c:layout/>
    </c:title>
    <c:plotArea>
      <c:layout>
        <c:manualLayout>
          <c:layoutTarget val="inner"/>
          <c:xMode val="edge"/>
          <c:yMode val="edge"/>
          <c:x val="0.10964828416080492"/>
          <c:y val="8.9892435097930226E-2"/>
          <c:w val="0.84432514046191032"/>
          <c:h val="0.79185294757339864"/>
        </c:manualLayout>
      </c:layout>
      <c:scatterChart>
        <c:scatterStyle val="lineMarker"/>
        <c:ser>
          <c:idx val="0"/>
          <c:order val="0"/>
          <c:tx>
            <c:strRef>
              <c:f>Estimator!$P$125</c:f>
              <c:strCache>
                <c:ptCount val="1"/>
                <c:pt idx="0">
                  <c:v>Winter</c:v>
                </c:pt>
              </c:strCache>
            </c:strRef>
          </c:tx>
          <c:spPr>
            <a:ln w="28575">
              <a:noFill/>
            </a:ln>
          </c:spPr>
          <c:marker>
            <c:spPr>
              <a:solidFill>
                <a:srgbClr val="0070C0"/>
              </a:solidFill>
              <a:ln>
                <a:solidFill>
                  <a:srgbClr val="0070C0"/>
                </a:solidFill>
              </a:ln>
            </c:spPr>
          </c:marker>
          <c:xVal>
            <c:numRef>
              <c:f>Estimator!$O$126:$O$149</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Estimator!$P$126:$P$149</c:f>
              <c:numCache>
                <c:formatCode>0.00</c:formatCode>
                <c:ptCount val="24"/>
                <c:pt idx="0">
                  <c:v>0</c:v>
                </c:pt>
                <c:pt idx="1">
                  <c:v>0</c:v>
                </c:pt>
                <c:pt idx="2">
                  <c:v>0</c:v>
                </c:pt>
                <c:pt idx="3">
                  <c:v>0</c:v>
                </c:pt>
                <c:pt idx="4">
                  <c:v>0</c:v>
                </c:pt>
                <c:pt idx="5">
                  <c:v>0</c:v>
                </c:pt>
                <c:pt idx="6">
                  <c:v>0</c:v>
                </c:pt>
                <c:pt idx="7">
                  <c:v>64.912134529258736</c:v>
                </c:pt>
                <c:pt idx="8">
                  <c:v>151.29033580703424</c:v>
                </c:pt>
                <c:pt idx="9">
                  <c:v>219.99366671901171</c:v>
                </c:pt>
                <c:pt idx="10">
                  <c:v>268.83976864016813</c:v>
                </c:pt>
                <c:pt idx="11">
                  <c:v>285.12180261388693</c:v>
                </c:pt>
                <c:pt idx="12">
                  <c:v>285.12180261388693</c:v>
                </c:pt>
                <c:pt idx="13">
                  <c:v>260.69875165330876</c:v>
                </c:pt>
                <c:pt idx="14">
                  <c:v>211.85264973215232</c:v>
                </c:pt>
                <c:pt idx="15">
                  <c:v>142.55345298399118</c:v>
                </c:pt>
                <c:pt idx="16">
                  <c:v>54.626000532138107</c:v>
                </c:pt>
                <c:pt idx="17">
                  <c:v>0</c:v>
                </c:pt>
                <c:pt idx="18">
                  <c:v>0</c:v>
                </c:pt>
                <c:pt idx="19">
                  <c:v>0</c:v>
                </c:pt>
                <c:pt idx="20">
                  <c:v>0</c:v>
                </c:pt>
                <c:pt idx="21">
                  <c:v>0</c:v>
                </c:pt>
                <c:pt idx="22">
                  <c:v>0</c:v>
                </c:pt>
                <c:pt idx="23">
                  <c:v>0</c:v>
                </c:pt>
              </c:numCache>
            </c:numRef>
          </c:yVal>
        </c:ser>
        <c:ser>
          <c:idx val="1"/>
          <c:order val="1"/>
          <c:tx>
            <c:strRef>
              <c:f>Estimator!$Q$125</c:f>
              <c:strCache>
                <c:ptCount val="1"/>
                <c:pt idx="0">
                  <c:v>Spring</c:v>
                </c:pt>
              </c:strCache>
            </c:strRef>
          </c:tx>
          <c:spPr>
            <a:ln w="28575">
              <a:noFill/>
            </a:ln>
          </c:spPr>
          <c:marker>
            <c:spPr>
              <a:solidFill>
                <a:srgbClr val="00B050"/>
              </a:solidFill>
              <a:ln>
                <a:solidFill>
                  <a:srgbClr val="00B050"/>
                </a:solidFill>
              </a:ln>
            </c:spPr>
          </c:marker>
          <c:xVal>
            <c:numRef>
              <c:f>Estimator!$O$126:$O$149</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Estimator!$Q$126:$Q$149</c:f>
              <c:numCache>
                <c:formatCode>0.00</c:formatCode>
                <c:ptCount val="24"/>
                <c:pt idx="0">
                  <c:v>0</c:v>
                </c:pt>
                <c:pt idx="1">
                  <c:v>0</c:v>
                </c:pt>
                <c:pt idx="2">
                  <c:v>0</c:v>
                </c:pt>
                <c:pt idx="3">
                  <c:v>0</c:v>
                </c:pt>
                <c:pt idx="4">
                  <c:v>0</c:v>
                </c:pt>
                <c:pt idx="5">
                  <c:v>83.637363119490189</c:v>
                </c:pt>
                <c:pt idx="6">
                  <c:v>144.22449072410069</c:v>
                </c:pt>
                <c:pt idx="7">
                  <c:v>208.58413142394224</c:v>
                </c:pt>
                <c:pt idx="8">
                  <c:v>284.04470778678382</c:v>
                </c:pt>
                <c:pt idx="9">
                  <c:v>355.87975208407835</c:v>
                </c:pt>
                <c:pt idx="10">
                  <c:v>426.038696920061</c:v>
                </c:pt>
                <c:pt idx="11">
                  <c:v>461.30382958607436</c:v>
                </c:pt>
                <c:pt idx="12">
                  <c:v>434.85498008656413</c:v>
                </c:pt>
                <c:pt idx="13">
                  <c:v>382.18935639757183</c:v>
                </c:pt>
                <c:pt idx="14">
                  <c:v>299.5576529548693</c:v>
                </c:pt>
                <c:pt idx="15">
                  <c:v>228.15581590295966</c:v>
                </c:pt>
                <c:pt idx="16">
                  <c:v>161.32844107315512</c:v>
                </c:pt>
                <c:pt idx="17">
                  <c:v>95.834209968732964</c:v>
                </c:pt>
                <c:pt idx="18">
                  <c:v>29.434885155202132</c:v>
                </c:pt>
                <c:pt idx="19">
                  <c:v>0</c:v>
                </c:pt>
                <c:pt idx="20">
                  <c:v>0</c:v>
                </c:pt>
                <c:pt idx="21">
                  <c:v>0</c:v>
                </c:pt>
                <c:pt idx="22">
                  <c:v>0</c:v>
                </c:pt>
                <c:pt idx="23">
                  <c:v>0</c:v>
                </c:pt>
              </c:numCache>
            </c:numRef>
          </c:yVal>
        </c:ser>
        <c:ser>
          <c:idx val="2"/>
          <c:order val="2"/>
          <c:tx>
            <c:strRef>
              <c:f>Estimator!$R$125</c:f>
              <c:strCache>
                <c:ptCount val="1"/>
                <c:pt idx="0">
                  <c:v>Summer</c:v>
                </c:pt>
              </c:strCache>
            </c:strRef>
          </c:tx>
          <c:spPr>
            <a:ln w="28575">
              <a:noFill/>
            </a:ln>
          </c:spPr>
          <c:marker>
            <c:spPr>
              <a:solidFill>
                <a:srgbClr val="FF0000"/>
              </a:solidFill>
              <a:ln>
                <a:solidFill>
                  <a:srgbClr val="FF0000"/>
                </a:solidFill>
              </a:ln>
            </c:spPr>
          </c:marker>
          <c:xVal>
            <c:numRef>
              <c:f>Estimator!$O$126:$O$149</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Estimator!$R$126:$R$149</c:f>
              <c:numCache>
                <c:formatCode>0.00</c:formatCode>
                <c:ptCount val="24"/>
                <c:pt idx="0">
                  <c:v>0</c:v>
                </c:pt>
                <c:pt idx="1">
                  <c:v>0</c:v>
                </c:pt>
                <c:pt idx="2">
                  <c:v>0</c:v>
                </c:pt>
                <c:pt idx="3">
                  <c:v>0</c:v>
                </c:pt>
                <c:pt idx="4">
                  <c:v>0</c:v>
                </c:pt>
                <c:pt idx="5">
                  <c:v>64.511328902236741</c:v>
                </c:pt>
                <c:pt idx="6">
                  <c:v>126.48066771933517</c:v>
                </c:pt>
                <c:pt idx="7">
                  <c:v>184.53943564703076</c:v>
                </c:pt>
                <c:pt idx="8">
                  <c:v>245.23539928103071</c:v>
                </c:pt>
                <c:pt idx="9">
                  <c:v>317.10374255888792</c:v>
                </c:pt>
                <c:pt idx="10">
                  <c:v>382.3957575546878</c:v>
                </c:pt>
                <c:pt idx="11">
                  <c:v>414.25631867796636</c:v>
                </c:pt>
                <c:pt idx="12">
                  <c:v>406.35663226169856</c:v>
                </c:pt>
                <c:pt idx="13">
                  <c:v>357.91125193126288</c:v>
                </c:pt>
                <c:pt idx="14">
                  <c:v>287.70662688328554</c:v>
                </c:pt>
                <c:pt idx="15">
                  <c:v>220.28438611389143</c:v>
                </c:pt>
                <c:pt idx="16">
                  <c:v>157.74143342926646</c:v>
                </c:pt>
                <c:pt idx="17">
                  <c:v>98.633023528213187</c:v>
                </c:pt>
                <c:pt idx="18">
                  <c:v>33.141076727964311</c:v>
                </c:pt>
                <c:pt idx="19">
                  <c:v>0</c:v>
                </c:pt>
                <c:pt idx="20">
                  <c:v>0</c:v>
                </c:pt>
                <c:pt idx="21">
                  <c:v>0</c:v>
                </c:pt>
                <c:pt idx="22">
                  <c:v>0</c:v>
                </c:pt>
                <c:pt idx="23">
                  <c:v>0</c:v>
                </c:pt>
              </c:numCache>
            </c:numRef>
          </c:yVal>
        </c:ser>
        <c:ser>
          <c:idx val="3"/>
          <c:order val="3"/>
          <c:tx>
            <c:strRef>
              <c:f>Estimator!$S$125</c:f>
              <c:strCache>
                <c:ptCount val="1"/>
                <c:pt idx="0">
                  <c:v>Fall</c:v>
                </c:pt>
              </c:strCache>
            </c:strRef>
          </c:tx>
          <c:spPr>
            <a:ln w="28575">
              <a:noFill/>
            </a:ln>
          </c:spPr>
          <c:marker>
            <c:symbol val="circle"/>
            <c:size val="7"/>
            <c:spPr>
              <a:solidFill>
                <a:schemeClr val="accent6">
                  <a:lumMod val="75000"/>
                </a:schemeClr>
              </a:solidFill>
              <a:ln>
                <a:solidFill>
                  <a:schemeClr val="accent6">
                    <a:lumMod val="75000"/>
                  </a:schemeClr>
                </a:solidFill>
              </a:ln>
            </c:spPr>
          </c:marker>
          <c:xVal>
            <c:numRef>
              <c:f>Estimator!$O$126:$O$149</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Estimator!$S$126:$S$149</c:f>
              <c:numCache>
                <c:formatCode>0.00</c:formatCode>
                <c:ptCount val="24"/>
                <c:pt idx="0">
                  <c:v>0</c:v>
                </c:pt>
                <c:pt idx="1">
                  <c:v>0</c:v>
                </c:pt>
                <c:pt idx="2">
                  <c:v>0</c:v>
                </c:pt>
                <c:pt idx="3">
                  <c:v>0</c:v>
                </c:pt>
                <c:pt idx="4">
                  <c:v>0</c:v>
                </c:pt>
                <c:pt idx="5">
                  <c:v>0</c:v>
                </c:pt>
                <c:pt idx="6">
                  <c:v>19.127632836168832</c:v>
                </c:pt>
                <c:pt idx="7">
                  <c:v>100.61110613571365</c:v>
                </c:pt>
                <c:pt idx="8">
                  <c:v>142.82046711850856</c:v>
                </c:pt>
                <c:pt idx="9">
                  <c:v>196.64346693493158</c:v>
                </c:pt>
                <c:pt idx="10">
                  <c:v>229.36178625995728</c:v>
                </c:pt>
                <c:pt idx="11">
                  <c:v>236.90913536097554</c:v>
                </c:pt>
                <c:pt idx="12">
                  <c:v>216.274458529947</c:v>
                </c:pt>
                <c:pt idx="13">
                  <c:v>196.64346693493158</c:v>
                </c:pt>
                <c:pt idx="14">
                  <c:v>149.85536061564102</c:v>
                </c:pt>
                <c:pt idx="15">
                  <c:v>85.304148216090937</c:v>
                </c:pt>
                <c:pt idx="16">
                  <c:v>0</c:v>
                </c:pt>
                <c:pt idx="17">
                  <c:v>0</c:v>
                </c:pt>
                <c:pt idx="18">
                  <c:v>0</c:v>
                </c:pt>
                <c:pt idx="19">
                  <c:v>0</c:v>
                </c:pt>
                <c:pt idx="20">
                  <c:v>0</c:v>
                </c:pt>
                <c:pt idx="21">
                  <c:v>0</c:v>
                </c:pt>
                <c:pt idx="22">
                  <c:v>0</c:v>
                </c:pt>
                <c:pt idx="23">
                  <c:v>0</c:v>
                </c:pt>
              </c:numCache>
            </c:numRef>
          </c:yVal>
        </c:ser>
        <c:axId val="166885632"/>
        <c:axId val="166892288"/>
      </c:scatterChart>
      <c:valAx>
        <c:axId val="166885632"/>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6892288"/>
        <c:crosses val="autoZero"/>
        <c:crossBetween val="midCat"/>
        <c:majorUnit val="6"/>
      </c:valAx>
      <c:valAx>
        <c:axId val="166892288"/>
        <c:scaling>
          <c:orientation val="minMax"/>
        </c:scaling>
        <c:axPos val="l"/>
        <c:majorGridlines/>
        <c:title>
          <c:tx>
            <c:rich>
              <a:bodyPr/>
              <a:lstStyle/>
              <a:p>
                <a:pPr>
                  <a:defRPr sz="1400"/>
                </a:pPr>
                <a:r>
                  <a:rPr lang="en-US" sz="1400"/>
                  <a:t>Power,</a:t>
                </a:r>
                <a:r>
                  <a:rPr lang="en-US" sz="1400" baseline="0"/>
                  <a:t> Watt-hours</a:t>
                </a:r>
                <a:endParaRPr lang="en-US" sz="1400"/>
              </a:p>
            </c:rich>
          </c:tx>
          <c:layout>
            <c:manualLayout>
              <c:xMode val="edge"/>
              <c:yMode val="edge"/>
              <c:x val="1.7575758554285451E-2"/>
              <c:y val="0.37016215501200089"/>
            </c:manualLayout>
          </c:layout>
        </c:title>
        <c:numFmt formatCode="0" sourceLinked="0"/>
        <c:tickLblPos val="nextTo"/>
        <c:txPr>
          <a:bodyPr/>
          <a:lstStyle/>
          <a:p>
            <a:pPr>
              <a:defRPr sz="1400" b="1"/>
            </a:pPr>
            <a:endParaRPr lang="en-US"/>
          </a:p>
        </c:txPr>
        <c:crossAx val="166885632"/>
        <c:crosses val="autoZero"/>
        <c:crossBetween val="midCat"/>
      </c:valAx>
    </c:plotArea>
    <c:legend>
      <c:legendPos val="r"/>
      <c:layout>
        <c:manualLayout>
          <c:xMode val="edge"/>
          <c:yMode val="edge"/>
          <c:x val="0.78128421593087982"/>
          <c:y val="0.38385944572977465"/>
          <c:w val="8.8362241458169816E-2"/>
          <c:h val="0.16559869146539888"/>
        </c:manualLayout>
      </c:layout>
      <c:spPr>
        <a:solidFill>
          <a:schemeClr val="bg1"/>
        </a:solidFill>
        <a:ln>
          <a:solidFill>
            <a:sysClr val="windowText" lastClr="000000"/>
          </a:solidFill>
        </a:ln>
      </c:spPr>
      <c:txPr>
        <a:bodyPr/>
        <a:lstStyle/>
        <a:p>
          <a:pPr>
            <a:defRPr sz="1200"/>
          </a:pPr>
          <a:endParaRPr lang="en-US"/>
        </a:p>
      </c:txPr>
    </c:legend>
    <c:plotVisOnly val="1"/>
  </c:chart>
  <c:spPr>
    <a:ln w="12700">
      <a:solidFill>
        <a:schemeClr val="tx1"/>
      </a:solidFill>
    </a:ln>
  </c:spPr>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Power Generated Due to Diffuse Cloud Radiance, Daily</a:t>
            </a:r>
          </a:p>
        </c:rich>
      </c:tx>
      <c:layout/>
    </c:title>
    <c:plotArea>
      <c:layout>
        <c:manualLayout>
          <c:layoutTarget val="inner"/>
          <c:xMode val="edge"/>
          <c:yMode val="edge"/>
          <c:x val="0.11404222379937615"/>
          <c:y val="8.9892435097930226E-2"/>
          <c:w val="0.82382008881524349"/>
          <c:h val="0.79185294757339864"/>
        </c:manualLayout>
      </c:layout>
      <c:scatterChart>
        <c:scatterStyle val="lineMarker"/>
        <c:ser>
          <c:idx val="0"/>
          <c:order val="0"/>
          <c:tx>
            <c:strRef>
              <c:f>Estimator!$P$153</c:f>
              <c:strCache>
                <c:ptCount val="1"/>
                <c:pt idx="0">
                  <c:v>Winter</c:v>
                </c:pt>
              </c:strCache>
            </c:strRef>
          </c:tx>
          <c:spPr>
            <a:ln w="28575">
              <a:noFill/>
            </a:ln>
          </c:spPr>
          <c:marker>
            <c:spPr>
              <a:solidFill>
                <a:srgbClr val="0070C0"/>
              </a:solidFill>
              <a:ln>
                <a:solidFill>
                  <a:srgbClr val="0070C0"/>
                </a:solidFill>
              </a:ln>
            </c:spPr>
          </c:marker>
          <c:xVal>
            <c:numRef>
              <c:f>Estimator!$O$154:$O$177</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Estimator!$P$154:$P$177</c:f>
              <c:numCache>
                <c:formatCode>0.00</c:formatCode>
                <c:ptCount val="24"/>
                <c:pt idx="0">
                  <c:v>0</c:v>
                </c:pt>
                <c:pt idx="1">
                  <c:v>0</c:v>
                </c:pt>
                <c:pt idx="2">
                  <c:v>0</c:v>
                </c:pt>
                <c:pt idx="3">
                  <c:v>0</c:v>
                </c:pt>
                <c:pt idx="4">
                  <c:v>0</c:v>
                </c:pt>
                <c:pt idx="5">
                  <c:v>0</c:v>
                </c:pt>
                <c:pt idx="6">
                  <c:v>0</c:v>
                </c:pt>
                <c:pt idx="7">
                  <c:v>3.2483874840351254</c:v>
                </c:pt>
                <c:pt idx="8">
                  <c:v>10.631948524389413</c:v>
                </c:pt>
                <c:pt idx="9">
                  <c:v>21.387193508026883</c:v>
                </c:pt>
                <c:pt idx="10">
                  <c:v>32.057079404492626</c:v>
                </c:pt>
                <c:pt idx="11">
                  <c:v>35.613708036647864</c:v>
                </c:pt>
                <c:pt idx="12">
                  <c:v>35.613708036647864</c:v>
                </c:pt>
                <c:pt idx="13">
                  <c:v>30.278765088414996</c:v>
                </c:pt>
                <c:pt idx="14">
                  <c:v>19.60887919194926</c:v>
                </c:pt>
                <c:pt idx="15">
                  <c:v>9.4321791324757083</c:v>
                </c:pt>
                <c:pt idx="16">
                  <c:v>2.7314907894952296</c:v>
                </c:pt>
                <c:pt idx="17">
                  <c:v>0</c:v>
                </c:pt>
                <c:pt idx="18">
                  <c:v>0</c:v>
                </c:pt>
                <c:pt idx="19">
                  <c:v>0</c:v>
                </c:pt>
                <c:pt idx="20">
                  <c:v>0</c:v>
                </c:pt>
                <c:pt idx="21">
                  <c:v>0</c:v>
                </c:pt>
                <c:pt idx="22">
                  <c:v>0</c:v>
                </c:pt>
                <c:pt idx="23">
                  <c:v>0</c:v>
                </c:pt>
              </c:numCache>
            </c:numRef>
          </c:yVal>
        </c:ser>
        <c:ser>
          <c:idx val="1"/>
          <c:order val="1"/>
          <c:tx>
            <c:strRef>
              <c:f>Estimator!$Q$153</c:f>
              <c:strCache>
                <c:ptCount val="1"/>
                <c:pt idx="0">
                  <c:v>Spring</c:v>
                </c:pt>
              </c:strCache>
            </c:strRef>
          </c:tx>
          <c:spPr>
            <a:ln w="28575">
              <a:noFill/>
            </a:ln>
          </c:spPr>
          <c:marker>
            <c:spPr>
              <a:solidFill>
                <a:srgbClr val="00B050"/>
              </a:solidFill>
              <a:ln>
                <a:solidFill>
                  <a:srgbClr val="00B050"/>
                </a:solidFill>
              </a:ln>
            </c:spPr>
          </c:marker>
          <c:xVal>
            <c:numRef>
              <c:f>Estimator!$O$154:$O$177</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Estimator!$Q$154:$Q$177</c:f>
              <c:numCache>
                <c:formatCode>0.00</c:formatCode>
                <c:ptCount val="24"/>
                <c:pt idx="0">
                  <c:v>0</c:v>
                </c:pt>
                <c:pt idx="1">
                  <c:v>0</c:v>
                </c:pt>
                <c:pt idx="2">
                  <c:v>0</c:v>
                </c:pt>
                <c:pt idx="3">
                  <c:v>0</c:v>
                </c:pt>
                <c:pt idx="4">
                  <c:v>0</c:v>
                </c:pt>
                <c:pt idx="5">
                  <c:v>9.788150532239861</c:v>
                </c:pt>
                <c:pt idx="6">
                  <c:v>24.411261626177339</c:v>
                </c:pt>
                <c:pt idx="7">
                  <c:v>49.681242116594412</c:v>
                </c:pt>
                <c:pt idx="8">
                  <c:v>85.405191389060434</c:v>
                </c:pt>
                <c:pt idx="9">
                  <c:v>119.03834690511658</c:v>
                </c:pt>
                <c:pt idx="10">
                  <c:v>146.41778895333999</c:v>
                </c:pt>
                <c:pt idx="11">
                  <c:v>156.42373050187248</c:v>
                </c:pt>
                <c:pt idx="12">
                  <c:v>148.91927434047307</c:v>
                </c:pt>
                <c:pt idx="13">
                  <c:v>129.30563767320035</c:v>
                </c:pt>
                <c:pt idx="14">
                  <c:v>93.05898996163198</c:v>
                </c:pt>
                <c:pt idx="15">
                  <c:v>58.772461396697679</c:v>
                </c:pt>
                <c:pt idx="16">
                  <c:v>30.814317505182302</c:v>
                </c:pt>
                <c:pt idx="17">
                  <c:v>12.563430339855232</c:v>
                </c:pt>
                <c:pt idx="18">
                  <c:v>3.6962246765101541</c:v>
                </c:pt>
                <c:pt idx="19">
                  <c:v>0</c:v>
                </c:pt>
                <c:pt idx="20">
                  <c:v>0</c:v>
                </c:pt>
                <c:pt idx="21">
                  <c:v>0</c:v>
                </c:pt>
                <c:pt idx="22">
                  <c:v>0</c:v>
                </c:pt>
                <c:pt idx="23">
                  <c:v>0</c:v>
                </c:pt>
              </c:numCache>
            </c:numRef>
          </c:yVal>
        </c:ser>
        <c:ser>
          <c:idx val="2"/>
          <c:order val="2"/>
          <c:tx>
            <c:strRef>
              <c:f>Estimator!$R$153</c:f>
              <c:strCache>
                <c:ptCount val="1"/>
                <c:pt idx="0">
                  <c:v>Summer</c:v>
                </c:pt>
              </c:strCache>
            </c:strRef>
          </c:tx>
          <c:spPr>
            <a:ln w="28575">
              <a:noFill/>
            </a:ln>
          </c:spPr>
          <c:marker>
            <c:spPr>
              <a:solidFill>
                <a:srgbClr val="FF0000"/>
              </a:solidFill>
              <a:ln>
                <a:solidFill>
                  <a:srgbClr val="FF0000"/>
                </a:solidFill>
              </a:ln>
            </c:spPr>
          </c:marker>
          <c:xVal>
            <c:numRef>
              <c:f>Estimator!$O$154:$O$177</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Estimator!$R$154:$R$177</c:f>
              <c:numCache>
                <c:formatCode>0.00</c:formatCode>
                <c:ptCount val="24"/>
                <c:pt idx="0">
                  <c:v>0</c:v>
                </c:pt>
                <c:pt idx="1">
                  <c:v>0</c:v>
                </c:pt>
                <c:pt idx="2">
                  <c:v>0</c:v>
                </c:pt>
                <c:pt idx="3">
                  <c:v>0</c:v>
                </c:pt>
                <c:pt idx="4">
                  <c:v>0</c:v>
                </c:pt>
                <c:pt idx="5">
                  <c:v>6.4826735899420633</c:v>
                </c:pt>
                <c:pt idx="6">
                  <c:v>18.612055562364077</c:v>
                </c:pt>
                <c:pt idx="7">
                  <c:v>39.016967324379607</c:v>
                </c:pt>
                <c:pt idx="8">
                  <c:v>64.979207541033219</c:v>
                </c:pt>
                <c:pt idx="9">
                  <c:v>96.65650549675172</c:v>
                </c:pt>
                <c:pt idx="10">
                  <c:v>119.53776702426825</c:v>
                </c:pt>
                <c:pt idx="11">
                  <c:v>128.67555023539504</c:v>
                </c:pt>
                <c:pt idx="12">
                  <c:v>126.58300839533264</c:v>
                </c:pt>
                <c:pt idx="13">
                  <c:v>110.95729395144954</c:v>
                </c:pt>
                <c:pt idx="14">
                  <c:v>84.19063438421918</c:v>
                </c:pt>
                <c:pt idx="15">
                  <c:v>54.190524486239134</c:v>
                </c:pt>
                <c:pt idx="16">
                  <c:v>29.337646903387444</c:v>
                </c:pt>
                <c:pt idx="17">
                  <c:v>12.828648466714215</c:v>
                </c:pt>
                <c:pt idx="18">
                  <c:v>3.6698346843305445</c:v>
                </c:pt>
                <c:pt idx="19">
                  <c:v>0</c:v>
                </c:pt>
                <c:pt idx="20">
                  <c:v>0</c:v>
                </c:pt>
                <c:pt idx="21">
                  <c:v>0</c:v>
                </c:pt>
                <c:pt idx="22">
                  <c:v>0</c:v>
                </c:pt>
                <c:pt idx="23">
                  <c:v>0</c:v>
                </c:pt>
              </c:numCache>
            </c:numRef>
          </c:yVal>
        </c:ser>
        <c:ser>
          <c:idx val="3"/>
          <c:order val="3"/>
          <c:tx>
            <c:strRef>
              <c:f>Estimator!$S$153</c:f>
              <c:strCache>
                <c:ptCount val="1"/>
                <c:pt idx="0">
                  <c:v>Fall</c:v>
                </c:pt>
              </c:strCache>
            </c:strRef>
          </c:tx>
          <c:spPr>
            <a:ln w="28575">
              <a:noFill/>
            </a:ln>
          </c:spPr>
          <c:marker>
            <c:symbol val="circle"/>
            <c:size val="7"/>
            <c:spPr>
              <a:solidFill>
                <a:srgbClr val="F79646">
                  <a:lumMod val="75000"/>
                </a:srgbClr>
              </a:solidFill>
              <a:ln>
                <a:solidFill>
                  <a:srgbClr val="F79646">
                    <a:lumMod val="75000"/>
                  </a:srgbClr>
                </a:solidFill>
              </a:ln>
            </c:spPr>
          </c:marker>
          <c:xVal>
            <c:numRef>
              <c:f>Estimator!$O$154:$O$177</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Estimator!$S$154:$S$177</c:f>
              <c:numCache>
                <c:formatCode>0.00</c:formatCode>
                <c:ptCount val="24"/>
                <c:pt idx="0">
                  <c:v>0</c:v>
                </c:pt>
                <c:pt idx="1">
                  <c:v>0</c:v>
                </c:pt>
                <c:pt idx="2">
                  <c:v>0</c:v>
                </c:pt>
                <c:pt idx="3">
                  <c:v>0</c:v>
                </c:pt>
                <c:pt idx="4">
                  <c:v>0</c:v>
                </c:pt>
                <c:pt idx="5">
                  <c:v>0</c:v>
                </c:pt>
                <c:pt idx="6">
                  <c:v>1.4068922856996218</c:v>
                </c:pt>
                <c:pt idx="7">
                  <c:v>8.4688320791527989</c:v>
                </c:pt>
                <c:pt idx="8">
                  <c:v>16.415575224159262</c:v>
                </c:pt>
                <c:pt idx="9">
                  <c:v>30.583420194993728</c:v>
                </c:pt>
                <c:pt idx="10">
                  <c:v>40.77789359332499</c:v>
                </c:pt>
                <c:pt idx="11">
                  <c:v>43.663121913607398</c:v>
                </c:pt>
                <c:pt idx="12">
                  <c:v>36.700104233992484</c:v>
                </c:pt>
                <c:pt idx="13">
                  <c:v>30.583420194993728</c:v>
                </c:pt>
                <c:pt idx="14">
                  <c:v>17.740032414993674</c:v>
                </c:pt>
                <c:pt idx="15">
                  <c:v>6.5068768213607528</c:v>
                </c:pt>
                <c:pt idx="16">
                  <c:v>0</c:v>
                </c:pt>
                <c:pt idx="17">
                  <c:v>0</c:v>
                </c:pt>
                <c:pt idx="18">
                  <c:v>0</c:v>
                </c:pt>
                <c:pt idx="19">
                  <c:v>0</c:v>
                </c:pt>
                <c:pt idx="20">
                  <c:v>0</c:v>
                </c:pt>
                <c:pt idx="21">
                  <c:v>0</c:v>
                </c:pt>
                <c:pt idx="22">
                  <c:v>0</c:v>
                </c:pt>
                <c:pt idx="23">
                  <c:v>0</c:v>
                </c:pt>
              </c:numCache>
            </c:numRef>
          </c:yVal>
        </c:ser>
        <c:axId val="167004800"/>
        <c:axId val="167019648"/>
      </c:scatterChart>
      <c:valAx>
        <c:axId val="167004800"/>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7019648"/>
        <c:crosses val="autoZero"/>
        <c:crossBetween val="midCat"/>
        <c:majorUnit val="6"/>
      </c:valAx>
      <c:valAx>
        <c:axId val="167019648"/>
        <c:scaling>
          <c:orientation val="minMax"/>
        </c:scaling>
        <c:axPos val="l"/>
        <c:majorGridlines/>
        <c:title>
          <c:tx>
            <c:rich>
              <a:bodyPr/>
              <a:lstStyle/>
              <a:p>
                <a:pPr>
                  <a:defRPr sz="1400"/>
                </a:pPr>
                <a:r>
                  <a:rPr lang="en-US" sz="1400"/>
                  <a:t>Power, Watt-hours</a:t>
                </a:r>
              </a:p>
            </c:rich>
          </c:tx>
          <c:layout>
            <c:manualLayout>
              <c:xMode val="edge"/>
              <c:yMode val="edge"/>
              <c:x val="1.9040405100475936E-2"/>
              <c:y val="0.37016215501200089"/>
            </c:manualLayout>
          </c:layout>
        </c:title>
        <c:numFmt formatCode="0" sourceLinked="0"/>
        <c:tickLblPos val="nextTo"/>
        <c:txPr>
          <a:bodyPr/>
          <a:lstStyle/>
          <a:p>
            <a:pPr>
              <a:defRPr sz="1400" b="1"/>
            </a:pPr>
            <a:endParaRPr lang="en-US"/>
          </a:p>
        </c:txPr>
        <c:crossAx val="167004800"/>
        <c:crosses val="autoZero"/>
        <c:crossBetween val="midCat"/>
      </c:valAx>
    </c:plotArea>
    <c:legend>
      <c:legendPos val="r"/>
      <c:layout>
        <c:manualLayout>
          <c:xMode val="edge"/>
          <c:yMode val="edge"/>
          <c:x val="0.79885997448516621"/>
          <c:y val="0.36770626781460319"/>
          <c:w val="8.8362241458169816E-2"/>
          <c:h val="0.16559869146539888"/>
        </c:manualLayout>
      </c:layout>
      <c:spPr>
        <a:solidFill>
          <a:sysClr val="window" lastClr="FFFFFF"/>
        </a:solidFill>
        <a:ln>
          <a:solidFill>
            <a:sysClr val="windowText" lastClr="000000"/>
          </a:solidFill>
        </a:ln>
      </c:spPr>
      <c:txPr>
        <a:bodyPr/>
        <a:lstStyle/>
        <a:p>
          <a:pPr>
            <a:defRPr sz="1200"/>
          </a:pPr>
          <a:endParaRPr lang="en-US"/>
        </a:p>
      </c:txPr>
    </c:legend>
    <c:plotVisOnly val="1"/>
  </c:chart>
  <c:spPr>
    <a:ln w="12700">
      <a:solidFill>
        <a:sysClr val="windowText" lastClr="000000"/>
      </a:solidFill>
    </a:ln>
  </c:spPr>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Power Generated Due to Ground Reflections, Daily</a:t>
            </a:r>
          </a:p>
        </c:rich>
      </c:tx>
      <c:layout/>
    </c:title>
    <c:plotArea>
      <c:layout>
        <c:manualLayout>
          <c:layoutTarget val="inner"/>
          <c:xMode val="edge"/>
          <c:yMode val="edge"/>
          <c:x val="0.11805535533593803"/>
          <c:y val="8.9892435097930226E-2"/>
          <c:w val="0.81980695727868325"/>
          <c:h val="0.79185294757339864"/>
        </c:manualLayout>
      </c:layout>
      <c:scatterChart>
        <c:scatterStyle val="lineMarker"/>
        <c:ser>
          <c:idx val="0"/>
          <c:order val="0"/>
          <c:tx>
            <c:strRef>
              <c:f>Estimator!$P$181</c:f>
              <c:strCache>
                <c:ptCount val="1"/>
                <c:pt idx="0">
                  <c:v>Winter</c:v>
                </c:pt>
              </c:strCache>
            </c:strRef>
          </c:tx>
          <c:spPr>
            <a:ln w="28575">
              <a:noFill/>
            </a:ln>
          </c:spPr>
          <c:marker>
            <c:spPr>
              <a:solidFill>
                <a:srgbClr val="0070C0"/>
              </a:solidFill>
              <a:ln>
                <a:solidFill>
                  <a:srgbClr val="0070C0"/>
                </a:solidFill>
              </a:ln>
            </c:spPr>
          </c:marker>
          <c:xVal>
            <c:numRef>
              <c:f>Estimator!$O$182:$O$205</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Estimator!$P$182:$P$205</c:f>
              <c:numCache>
                <c:formatCode>0.00</c:formatCode>
                <c:ptCount val="24"/>
                <c:pt idx="0">
                  <c:v>0</c:v>
                </c:pt>
                <c:pt idx="1">
                  <c:v>0</c:v>
                </c:pt>
                <c:pt idx="2">
                  <c:v>0</c:v>
                </c:pt>
                <c:pt idx="3">
                  <c:v>0</c:v>
                </c:pt>
                <c:pt idx="4">
                  <c:v>0</c:v>
                </c:pt>
                <c:pt idx="5">
                  <c:v>0</c:v>
                </c:pt>
                <c:pt idx="6">
                  <c:v>0</c:v>
                </c:pt>
                <c:pt idx="7">
                  <c:v>2.1381273088213257</c:v>
                </c:pt>
                <c:pt idx="8">
                  <c:v>15.277043613043363</c:v>
                </c:pt>
                <c:pt idx="9">
                  <c:v>31.908393403211367</c:v>
                </c:pt>
                <c:pt idx="10">
                  <c:v>45.306509036164009</c:v>
                </c:pt>
                <c:pt idx="11">
                  <c:v>51.288323685266761</c:v>
                </c:pt>
                <c:pt idx="12">
                  <c:v>50.866763743932651</c:v>
                </c:pt>
                <c:pt idx="13">
                  <c:v>43.315984543668137</c:v>
                </c:pt>
                <c:pt idx="14">
                  <c:v>29.041893612927062</c:v>
                </c:pt>
                <c:pt idx="15">
                  <c:v>13.060084268239407</c:v>
                </c:pt>
                <c:pt idx="16">
                  <c:v>1.3057969951914588</c:v>
                </c:pt>
                <c:pt idx="17">
                  <c:v>0</c:v>
                </c:pt>
                <c:pt idx="18">
                  <c:v>0</c:v>
                </c:pt>
                <c:pt idx="19">
                  <c:v>0</c:v>
                </c:pt>
                <c:pt idx="20">
                  <c:v>0</c:v>
                </c:pt>
                <c:pt idx="21">
                  <c:v>0</c:v>
                </c:pt>
                <c:pt idx="22">
                  <c:v>0</c:v>
                </c:pt>
                <c:pt idx="23">
                  <c:v>0</c:v>
                </c:pt>
              </c:numCache>
            </c:numRef>
          </c:yVal>
        </c:ser>
        <c:ser>
          <c:idx val="1"/>
          <c:order val="1"/>
          <c:tx>
            <c:strRef>
              <c:f>Estimator!$Q$181</c:f>
              <c:strCache>
                <c:ptCount val="1"/>
                <c:pt idx="0">
                  <c:v>Spring</c:v>
                </c:pt>
              </c:strCache>
            </c:strRef>
          </c:tx>
          <c:spPr>
            <a:ln w="28575">
              <a:noFill/>
            </a:ln>
          </c:spPr>
          <c:marker>
            <c:spPr>
              <a:solidFill>
                <a:srgbClr val="00B050"/>
              </a:solidFill>
              <a:ln>
                <a:solidFill>
                  <a:srgbClr val="00B050"/>
                </a:solidFill>
              </a:ln>
            </c:spPr>
          </c:marker>
          <c:xVal>
            <c:numRef>
              <c:f>Estimator!$O$182:$O$205</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Estimator!$Q$182:$Q$205</c:f>
              <c:numCache>
                <c:formatCode>0.00</c:formatCode>
                <c:ptCount val="24"/>
                <c:pt idx="0">
                  <c:v>0</c:v>
                </c:pt>
                <c:pt idx="1">
                  <c:v>0</c:v>
                </c:pt>
                <c:pt idx="2">
                  <c:v>0</c:v>
                </c:pt>
                <c:pt idx="3">
                  <c:v>0</c:v>
                </c:pt>
                <c:pt idx="4">
                  <c:v>0</c:v>
                </c:pt>
                <c:pt idx="5">
                  <c:v>5.2553506018990568</c:v>
                </c:pt>
                <c:pt idx="6">
                  <c:v>17.837078279392841</c:v>
                </c:pt>
                <c:pt idx="7">
                  <c:v>34.160668536737788</c:v>
                </c:pt>
                <c:pt idx="8">
                  <c:v>50.498102801336437</c:v>
                </c:pt>
                <c:pt idx="9">
                  <c:v>63.480161079524734</c:v>
                </c:pt>
                <c:pt idx="10">
                  <c:v>73.018812491389497</c:v>
                </c:pt>
                <c:pt idx="11">
                  <c:v>76.930318199959089</c:v>
                </c:pt>
                <c:pt idx="12">
                  <c:v>74.380585362948523</c:v>
                </c:pt>
                <c:pt idx="13">
                  <c:v>66.860027799486801</c:v>
                </c:pt>
                <c:pt idx="14">
                  <c:v>53.934166818952022</c:v>
                </c:pt>
                <c:pt idx="15">
                  <c:v>38.604243905925536</c:v>
                </c:pt>
                <c:pt idx="16">
                  <c:v>22.112741337176157</c:v>
                </c:pt>
                <c:pt idx="17">
                  <c:v>7.7089931011860253</c:v>
                </c:pt>
                <c:pt idx="18">
                  <c:v>0.50547540350293663</c:v>
                </c:pt>
                <c:pt idx="19">
                  <c:v>0</c:v>
                </c:pt>
                <c:pt idx="20">
                  <c:v>0</c:v>
                </c:pt>
                <c:pt idx="21">
                  <c:v>0</c:v>
                </c:pt>
                <c:pt idx="22">
                  <c:v>0</c:v>
                </c:pt>
                <c:pt idx="23">
                  <c:v>0</c:v>
                </c:pt>
              </c:numCache>
            </c:numRef>
          </c:yVal>
        </c:ser>
        <c:ser>
          <c:idx val="2"/>
          <c:order val="2"/>
          <c:tx>
            <c:strRef>
              <c:f>Estimator!$R$181</c:f>
              <c:strCache>
                <c:ptCount val="1"/>
                <c:pt idx="0">
                  <c:v>Summer</c:v>
                </c:pt>
              </c:strCache>
            </c:strRef>
          </c:tx>
          <c:spPr>
            <a:ln w="28575">
              <a:noFill/>
            </a:ln>
          </c:spPr>
          <c:marker>
            <c:spPr>
              <a:solidFill>
                <a:srgbClr val="FF0000"/>
              </a:solidFill>
              <a:ln>
                <a:solidFill>
                  <a:srgbClr val="FF0000"/>
                </a:solidFill>
              </a:ln>
            </c:spPr>
          </c:marker>
          <c:xVal>
            <c:numRef>
              <c:f>Estimator!$O$182:$O$205</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Estimator!$R$182:$R$205</c:f>
              <c:numCache>
                <c:formatCode>0.00</c:formatCode>
                <c:ptCount val="24"/>
                <c:pt idx="0">
                  <c:v>0</c:v>
                </c:pt>
                <c:pt idx="1">
                  <c:v>0</c:v>
                </c:pt>
                <c:pt idx="2">
                  <c:v>0</c:v>
                </c:pt>
                <c:pt idx="3">
                  <c:v>0</c:v>
                </c:pt>
                <c:pt idx="4">
                  <c:v>0</c:v>
                </c:pt>
                <c:pt idx="5">
                  <c:v>3.3124223351740198</c:v>
                </c:pt>
                <c:pt idx="6">
                  <c:v>14.527442437155372</c:v>
                </c:pt>
                <c:pt idx="7">
                  <c:v>29.264907442430459</c:v>
                </c:pt>
                <c:pt idx="8">
                  <c:v>43.511358167330457</c:v>
                </c:pt>
                <c:pt idx="9">
                  <c:v>56.340912332284539</c:v>
                </c:pt>
                <c:pt idx="10">
                  <c:v>65.405716861340309</c:v>
                </c:pt>
                <c:pt idx="11">
                  <c:v>69.532031388118938</c:v>
                </c:pt>
                <c:pt idx="12">
                  <c:v>68.432020350597284</c:v>
                </c:pt>
                <c:pt idx="13">
                  <c:v>62.09498982370696</c:v>
                </c:pt>
                <c:pt idx="14">
                  <c:v>51.25509429825825</c:v>
                </c:pt>
                <c:pt idx="15">
                  <c:v>37.563198745620511</c:v>
                </c:pt>
                <c:pt idx="16">
                  <c:v>22.506598663118684</c:v>
                </c:pt>
                <c:pt idx="17">
                  <c:v>8.8542484681067073</c:v>
                </c:pt>
                <c:pt idx="18">
                  <c:v>0.74261268636883382</c:v>
                </c:pt>
                <c:pt idx="19">
                  <c:v>0</c:v>
                </c:pt>
                <c:pt idx="20">
                  <c:v>0</c:v>
                </c:pt>
                <c:pt idx="21">
                  <c:v>0</c:v>
                </c:pt>
                <c:pt idx="22">
                  <c:v>0</c:v>
                </c:pt>
                <c:pt idx="23">
                  <c:v>0</c:v>
                </c:pt>
              </c:numCache>
            </c:numRef>
          </c:yVal>
        </c:ser>
        <c:ser>
          <c:idx val="3"/>
          <c:order val="3"/>
          <c:tx>
            <c:strRef>
              <c:f>Estimator!$S$181</c:f>
              <c:strCache>
                <c:ptCount val="1"/>
                <c:pt idx="0">
                  <c:v>Fall</c:v>
                </c:pt>
              </c:strCache>
            </c:strRef>
          </c:tx>
          <c:spPr>
            <a:ln w="28575">
              <a:noFill/>
            </a:ln>
          </c:spPr>
          <c:marker>
            <c:symbol val="circle"/>
            <c:size val="7"/>
            <c:spPr>
              <a:solidFill>
                <a:srgbClr val="F79646">
                  <a:lumMod val="75000"/>
                </a:srgbClr>
              </a:solidFill>
              <a:ln>
                <a:solidFill>
                  <a:srgbClr val="F79646">
                    <a:lumMod val="75000"/>
                  </a:srgbClr>
                </a:solidFill>
              </a:ln>
            </c:spPr>
          </c:marker>
          <c:xVal>
            <c:numRef>
              <c:f>Estimator!$O$182:$O$205</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Estimator!$S$182:$S$205</c:f>
              <c:numCache>
                <c:formatCode>0.00</c:formatCode>
                <c:ptCount val="24"/>
                <c:pt idx="0">
                  <c:v>0</c:v>
                </c:pt>
                <c:pt idx="1">
                  <c:v>0</c:v>
                </c:pt>
                <c:pt idx="2">
                  <c:v>0</c:v>
                </c:pt>
                <c:pt idx="3">
                  <c:v>0</c:v>
                </c:pt>
                <c:pt idx="4">
                  <c:v>0</c:v>
                </c:pt>
                <c:pt idx="5">
                  <c:v>0</c:v>
                </c:pt>
                <c:pt idx="6">
                  <c:v>0.22724698481962685</c:v>
                </c:pt>
                <c:pt idx="7">
                  <c:v>7.4870957825387316</c:v>
                </c:pt>
                <c:pt idx="8">
                  <c:v>17.296852176828526</c:v>
                </c:pt>
                <c:pt idx="9">
                  <c:v>31.809463364463777</c:v>
                </c:pt>
                <c:pt idx="10">
                  <c:v>40.964538352196861</c:v>
                </c:pt>
                <c:pt idx="11">
                  <c:v>43.241343034601428</c:v>
                </c:pt>
                <c:pt idx="12">
                  <c:v>37.173991957084816</c:v>
                </c:pt>
                <c:pt idx="13">
                  <c:v>30.913054838651732</c:v>
                </c:pt>
                <c:pt idx="14">
                  <c:v>18.225327802063031</c:v>
                </c:pt>
                <c:pt idx="15">
                  <c:v>5.2262022635490348</c:v>
                </c:pt>
                <c:pt idx="16">
                  <c:v>0</c:v>
                </c:pt>
                <c:pt idx="17">
                  <c:v>0</c:v>
                </c:pt>
                <c:pt idx="18">
                  <c:v>0</c:v>
                </c:pt>
                <c:pt idx="19">
                  <c:v>0</c:v>
                </c:pt>
                <c:pt idx="20">
                  <c:v>0</c:v>
                </c:pt>
                <c:pt idx="21">
                  <c:v>0</c:v>
                </c:pt>
                <c:pt idx="22">
                  <c:v>0</c:v>
                </c:pt>
                <c:pt idx="23">
                  <c:v>0</c:v>
                </c:pt>
              </c:numCache>
            </c:numRef>
          </c:yVal>
        </c:ser>
        <c:axId val="166829440"/>
        <c:axId val="167057280"/>
      </c:scatterChart>
      <c:valAx>
        <c:axId val="166829440"/>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7057280"/>
        <c:crosses val="autoZero"/>
        <c:crossBetween val="midCat"/>
        <c:majorUnit val="6"/>
      </c:valAx>
      <c:valAx>
        <c:axId val="167057280"/>
        <c:scaling>
          <c:orientation val="minMax"/>
        </c:scaling>
        <c:axPos val="l"/>
        <c:majorGridlines/>
        <c:title>
          <c:tx>
            <c:rich>
              <a:bodyPr/>
              <a:lstStyle/>
              <a:p>
                <a:pPr>
                  <a:defRPr sz="1400"/>
                </a:pPr>
                <a:r>
                  <a:rPr lang="en-US" sz="1400"/>
                  <a:t>Power, Watt-hours</a:t>
                </a:r>
              </a:p>
            </c:rich>
          </c:tx>
          <c:layout>
            <c:manualLayout>
              <c:xMode val="edge"/>
              <c:yMode val="edge"/>
              <c:x val="1.9040405100475936E-2"/>
              <c:y val="0.37016215501200089"/>
            </c:manualLayout>
          </c:layout>
        </c:title>
        <c:numFmt formatCode="0.0" sourceLinked="0"/>
        <c:tickLblPos val="nextTo"/>
        <c:txPr>
          <a:bodyPr/>
          <a:lstStyle/>
          <a:p>
            <a:pPr>
              <a:defRPr sz="1400" b="1"/>
            </a:pPr>
            <a:endParaRPr lang="en-US"/>
          </a:p>
        </c:txPr>
        <c:crossAx val="166829440"/>
        <c:crosses val="autoZero"/>
        <c:crossBetween val="midCat"/>
      </c:valAx>
    </c:plotArea>
    <c:legend>
      <c:legendPos val="r"/>
      <c:layout>
        <c:manualLayout>
          <c:xMode val="edge"/>
          <c:yMode val="edge"/>
          <c:x val="0.8135064399470685"/>
          <c:y val="0.40001262364494639"/>
          <c:w val="8.8362241458169816E-2"/>
          <c:h val="0.16559869146539888"/>
        </c:manualLayout>
      </c:layout>
      <c:spPr>
        <a:solidFill>
          <a:sysClr val="window" lastClr="FFFFFF"/>
        </a:solidFill>
        <a:ln>
          <a:solidFill>
            <a:sysClr val="windowText" lastClr="000000"/>
          </a:solidFill>
        </a:ln>
      </c:spPr>
      <c:txPr>
        <a:bodyPr/>
        <a:lstStyle/>
        <a:p>
          <a:pPr>
            <a:defRPr sz="1200"/>
          </a:pPr>
          <a:endParaRPr lang="en-US"/>
        </a:p>
      </c:txPr>
    </c:legend>
    <c:plotVisOnly val="1"/>
  </c:chart>
  <c:spPr>
    <a:ln w="12700">
      <a:solidFill>
        <a:sysClr val="windowText" lastClr="000000"/>
      </a:solidFill>
    </a:ln>
  </c:spPr>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Power Generated by</a:t>
            </a:r>
            <a:r>
              <a:rPr lang="en-US" baseline="0"/>
              <a:t> Hour in Each</a:t>
            </a:r>
            <a:r>
              <a:rPr lang="en-US"/>
              <a:t> Season</a:t>
            </a:r>
          </a:p>
        </c:rich>
      </c:tx>
      <c:layout/>
    </c:title>
    <c:plotArea>
      <c:layout>
        <c:manualLayout>
          <c:layoutTarget val="inner"/>
          <c:xMode val="edge"/>
          <c:yMode val="edge"/>
          <c:x val="0.10964828416080492"/>
          <c:y val="8.9892435097930226E-2"/>
          <c:w val="0.82821402845381564"/>
          <c:h val="0.79185294757339864"/>
        </c:manualLayout>
      </c:layout>
      <c:scatterChart>
        <c:scatterStyle val="lineMarker"/>
        <c:ser>
          <c:idx val="0"/>
          <c:order val="0"/>
          <c:tx>
            <c:strRef>
              <c:f>Estimator!$P$209</c:f>
              <c:strCache>
                <c:ptCount val="1"/>
                <c:pt idx="0">
                  <c:v>Winter</c:v>
                </c:pt>
              </c:strCache>
            </c:strRef>
          </c:tx>
          <c:spPr>
            <a:ln w="28575">
              <a:noFill/>
            </a:ln>
          </c:spPr>
          <c:marker>
            <c:spPr>
              <a:solidFill>
                <a:srgbClr val="0070C0"/>
              </a:solidFill>
              <a:ln>
                <a:solidFill>
                  <a:srgbClr val="0070C0"/>
                </a:solidFill>
              </a:ln>
            </c:spPr>
          </c:marker>
          <c:xVal>
            <c:numRef>
              <c:f>Estimator!$O$210:$O$233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Estimator!$P$210:$P$233</c:f>
              <c:numCache>
                <c:formatCode>0.00</c:formatCode>
                <c:ptCount val="24"/>
                <c:pt idx="0">
                  <c:v>0</c:v>
                </c:pt>
                <c:pt idx="1">
                  <c:v>0</c:v>
                </c:pt>
                <c:pt idx="2">
                  <c:v>0</c:v>
                </c:pt>
                <c:pt idx="3">
                  <c:v>0</c:v>
                </c:pt>
                <c:pt idx="4">
                  <c:v>0</c:v>
                </c:pt>
                <c:pt idx="5">
                  <c:v>0</c:v>
                </c:pt>
                <c:pt idx="6">
                  <c:v>0</c:v>
                </c:pt>
                <c:pt idx="7">
                  <c:v>25.066380531697142</c:v>
                </c:pt>
                <c:pt idx="8">
                  <c:v>113.93683351456328</c:v>
                </c:pt>
                <c:pt idx="9">
                  <c:v>203.88681225464069</c:v>
                </c:pt>
                <c:pt idx="10">
                  <c:v>270.91415785619557</c:v>
                </c:pt>
                <c:pt idx="11">
                  <c:v>298.81825834502121</c:v>
                </c:pt>
                <c:pt idx="12">
                  <c:v>297.23275136966703</c:v>
                </c:pt>
                <c:pt idx="13">
                  <c:v>260.85964775714075</c:v>
                </c:pt>
                <c:pt idx="14">
                  <c:v>190.8336593144484</c:v>
                </c:pt>
                <c:pt idx="15">
                  <c:v>101.38096248064599</c:v>
                </c:pt>
                <c:pt idx="16">
                  <c:v>17.34428283449558</c:v>
                </c:pt>
                <c:pt idx="17">
                  <c:v>0</c:v>
                </c:pt>
                <c:pt idx="18">
                  <c:v>0</c:v>
                </c:pt>
                <c:pt idx="19">
                  <c:v>0</c:v>
                </c:pt>
                <c:pt idx="20">
                  <c:v>0</c:v>
                </c:pt>
                <c:pt idx="21">
                  <c:v>0</c:v>
                </c:pt>
                <c:pt idx="22">
                  <c:v>0</c:v>
                </c:pt>
                <c:pt idx="23">
                  <c:v>0</c:v>
                </c:pt>
              </c:numCache>
            </c:numRef>
          </c:yVal>
        </c:ser>
        <c:ser>
          <c:idx val="1"/>
          <c:order val="1"/>
          <c:tx>
            <c:strRef>
              <c:f>Estimator!$Q$209</c:f>
              <c:strCache>
                <c:ptCount val="1"/>
                <c:pt idx="0">
                  <c:v>Spring</c:v>
                </c:pt>
              </c:strCache>
            </c:strRef>
          </c:tx>
          <c:spPr>
            <a:ln w="28575">
              <a:noFill/>
            </a:ln>
          </c:spPr>
          <c:marker>
            <c:spPr>
              <a:solidFill>
                <a:srgbClr val="00B050"/>
              </a:solidFill>
              <a:ln>
                <a:solidFill>
                  <a:srgbClr val="00B050"/>
                </a:solidFill>
              </a:ln>
            </c:spPr>
          </c:marker>
          <c:xVal>
            <c:numRef>
              <c:f>Estimator!$O$210:$O$233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Estimator!$Q$210:$Q$233</c:f>
              <c:numCache>
                <c:formatCode>0.00</c:formatCode>
                <c:ptCount val="24"/>
                <c:pt idx="0">
                  <c:v>0</c:v>
                </c:pt>
                <c:pt idx="1">
                  <c:v>0</c:v>
                </c:pt>
                <c:pt idx="2">
                  <c:v>0</c:v>
                </c:pt>
                <c:pt idx="3">
                  <c:v>0</c:v>
                </c:pt>
                <c:pt idx="4">
                  <c:v>0</c:v>
                </c:pt>
                <c:pt idx="5">
                  <c:v>9.0292990792070658</c:v>
                </c:pt>
                <c:pt idx="6">
                  <c:v>44.828650854410085</c:v>
                </c:pt>
                <c:pt idx="7">
                  <c:v>103.54870732265337</c:v>
                </c:pt>
                <c:pt idx="8">
                  <c:v>167.16968287543915</c:v>
                </c:pt>
                <c:pt idx="9">
                  <c:v>220.79443117924487</c:v>
                </c:pt>
                <c:pt idx="10">
                  <c:v>260.80542663700453</c:v>
                </c:pt>
                <c:pt idx="11">
                  <c:v>277.64383759209608</c:v>
                </c:pt>
                <c:pt idx="12">
                  <c:v>266.51302174539211</c:v>
                </c:pt>
                <c:pt idx="13">
                  <c:v>234.48396779455879</c:v>
                </c:pt>
                <c:pt idx="14">
                  <c:v>181.02926814200939</c:v>
                </c:pt>
                <c:pt idx="15">
                  <c:v>120.31026157809637</c:v>
                </c:pt>
                <c:pt idx="16">
                  <c:v>59.237715984554427</c:v>
                </c:pt>
                <c:pt idx="17">
                  <c:v>10.623756956994345</c:v>
                </c:pt>
                <c:pt idx="18">
                  <c:v>3.0777475490221935</c:v>
                </c:pt>
                <c:pt idx="19">
                  <c:v>0</c:v>
                </c:pt>
                <c:pt idx="20">
                  <c:v>0</c:v>
                </c:pt>
                <c:pt idx="21">
                  <c:v>0</c:v>
                </c:pt>
                <c:pt idx="22">
                  <c:v>0</c:v>
                </c:pt>
                <c:pt idx="23">
                  <c:v>0</c:v>
                </c:pt>
              </c:numCache>
            </c:numRef>
          </c:yVal>
        </c:ser>
        <c:ser>
          <c:idx val="2"/>
          <c:order val="2"/>
          <c:tx>
            <c:strRef>
              <c:f>Estimator!$R$209</c:f>
              <c:strCache>
                <c:ptCount val="1"/>
                <c:pt idx="0">
                  <c:v>Summer</c:v>
                </c:pt>
              </c:strCache>
            </c:strRef>
          </c:tx>
          <c:spPr>
            <a:ln w="28575">
              <a:noFill/>
            </a:ln>
          </c:spPr>
          <c:marker>
            <c:spPr>
              <a:solidFill>
                <a:srgbClr val="FF0000"/>
              </a:solidFill>
              <a:ln>
                <a:solidFill>
                  <a:srgbClr val="FF0000"/>
                </a:solidFill>
              </a:ln>
            </c:spPr>
          </c:marker>
          <c:xVal>
            <c:numRef>
              <c:f>Estimator!$O$210:$O$233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Estimator!$R$210:$R$233</c:f>
              <c:numCache>
                <c:formatCode>0.00</c:formatCode>
                <c:ptCount val="24"/>
                <c:pt idx="0">
                  <c:v>0</c:v>
                </c:pt>
                <c:pt idx="1">
                  <c:v>0</c:v>
                </c:pt>
                <c:pt idx="2">
                  <c:v>0</c:v>
                </c:pt>
                <c:pt idx="3">
                  <c:v>0</c:v>
                </c:pt>
                <c:pt idx="4">
                  <c:v>0</c:v>
                </c:pt>
                <c:pt idx="5">
                  <c:v>6.7990378717027866</c:v>
                </c:pt>
                <c:pt idx="6">
                  <c:v>34.626940398030968</c:v>
                </c:pt>
                <c:pt idx="7">
                  <c:v>86.866978598572942</c:v>
                </c:pt>
                <c:pt idx="8">
                  <c:v>142.36533670788708</c:v>
                </c:pt>
                <c:pt idx="9">
                  <c:v>194.61951029147758</c:v>
                </c:pt>
                <c:pt idx="10">
                  <c:v>232.96079408384293</c:v>
                </c:pt>
                <c:pt idx="11">
                  <c:v>250.45286495559898</c:v>
                </c:pt>
                <c:pt idx="12">
                  <c:v>245.87743830268533</c:v>
                </c:pt>
                <c:pt idx="13">
                  <c:v>218.89423501952848</c:v>
                </c:pt>
                <c:pt idx="14">
                  <c:v>173.84544198146773</c:v>
                </c:pt>
                <c:pt idx="15">
                  <c:v>119.12988353960435</c:v>
                </c:pt>
                <c:pt idx="16">
                  <c:v>62.538119875623053</c:v>
                </c:pt>
                <c:pt idx="17">
                  <c:v>11.008906722367625</c:v>
                </c:pt>
                <c:pt idx="18">
                  <c:v>3.4361474550277284</c:v>
                </c:pt>
                <c:pt idx="19">
                  <c:v>0</c:v>
                </c:pt>
                <c:pt idx="20">
                  <c:v>0</c:v>
                </c:pt>
                <c:pt idx="21">
                  <c:v>0</c:v>
                </c:pt>
                <c:pt idx="22">
                  <c:v>0</c:v>
                </c:pt>
                <c:pt idx="23">
                  <c:v>0</c:v>
                </c:pt>
              </c:numCache>
            </c:numRef>
          </c:yVal>
        </c:ser>
        <c:ser>
          <c:idx val="3"/>
          <c:order val="3"/>
          <c:tx>
            <c:strRef>
              <c:f>Estimator!$S$209</c:f>
              <c:strCache>
                <c:ptCount val="1"/>
                <c:pt idx="0">
                  <c:v>Fall</c:v>
                </c:pt>
              </c:strCache>
            </c:strRef>
          </c:tx>
          <c:spPr>
            <a:ln w="28575">
              <a:noFill/>
            </a:ln>
          </c:spPr>
          <c:marker>
            <c:symbol val="circle"/>
            <c:size val="7"/>
            <c:spPr>
              <a:solidFill>
                <a:srgbClr val="F79646">
                  <a:lumMod val="75000"/>
                </a:srgbClr>
              </a:solidFill>
              <a:ln>
                <a:solidFill>
                  <a:srgbClr val="F79646">
                    <a:lumMod val="75000"/>
                  </a:srgbClr>
                </a:solidFill>
              </a:ln>
            </c:spPr>
          </c:marker>
          <c:xVal>
            <c:numRef>
              <c:f>Estimator!$O$210:$O$233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Estimator!$S$210:$S$233</c:f>
              <c:numCache>
                <c:formatCode>0.00</c:formatCode>
                <c:ptCount val="24"/>
                <c:pt idx="0">
                  <c:v>0</c:v>
                </c:pt>
                <c:pt idx="1">
                  <c:v>0</c:v>
                </c:pt>
                <c:pt idx="2">
                  <c:v>0</c:v>
                </c:pt>
                <c:pt idx="3">
                  <c:v>0</c:v>
                </c:pt>
                <c:pt idx="4">
                  <c:v>0</c:v>
                </c:pt>
                <c:pt idx="5">
                  <c:v>0</c:v>
                </c:pt>
                <c:pt idx="6">
                  <c:v>2.5462362991417042</c:v>
                </c:pt>
                <c:pt idx="7">
                  <c:v>62.577317590769027</c:v>
                </c:pt>
                <c:pt idx="8">
                  <c:v>121.20845254634062</c:v>
                </c:pt>
                <c:pt idx="9">
                  <c:v>193.44105674905978</c:v>
                </c:pt>
                <c:pt idx="10">
                  <c:v>237.24193250699992</c:v>
                </c:pt>
                <c:pt idx="11">
                  <c:v>248.02419786308096</c:v>
                </c:pt>
                <c:pt idx="12">
                  <c:v>223.60826504307298</c:v>
                </c:pt>
                <c:pt idx="13">
                  <c:v>189.20271268677635</c:v>
                </c:pt>
                <c:pt idx="14">
                  <c:v>124.11764437163693</c:v>
                </c:pt>
                <c:pt idx="15">
                  <c:v>47.43288111067708</c:v>
                </c:pt>
                <c:pt idx="16">
                  <c:v>0</c:v>
                </c:pt>
                <c:pt idx="17">
                  <c:v>0</c:v>
                </c:pt>
                <c:pt idx="18">
                  <c:v>0</c:v>
                </c:pt>
                <c:pt idx="19">
                  <c:v>0</c:v>
                </c:pt>
                <c:pt idx="20">
                  <c:v>0</c:v>
                </c:pt>
                <c:pt idx="21">
                  <c:v>0</c:v>
                </c:pt>
                <c:pt idx="22">
                  <c:v>0</c:v>
                </c:pt>
                <c:pt idx="23">
                  <c:v>0</c:v>
                </c:pt>
              </c:numCache>
            </c:numRef>
          </c:yVal>
        </c:ser>
        <c:axId val="167088512"/>
        <c:axId val="167090816"/>
      </c:scatterChart>
      <c:valAx>
        <c:axId val="167088512"/>
        <c:scaling>
          <c:orientation val="minMax"/>
          <c:max val="24"/>
        </c:scaling>
        <c:axPos val="b"/>
        <c:majorGridlines/>
        <c:title>
          <c:tx>
            <c:rich>
              <a:bodyPr/>
              <a:lstStyle/>
              <a:p>
                <a:pPr>
                  <a:defRPr sz="1400"/>
                </a:pPr>
                <a:r>
                  <a:rPr lang="en-US" sz="1400"/>
                  <a:t>Local Time (24-hour)</a:t>
                </a:r>
              </a:p>
            </c:rich>
          </c:tx>
          <c:layout/>
        </c:title>
        <c:numFmt formatCode="General" sourceLinked="1"/>
        <c:minorTickMark val="out"/>
        <c:tickLblPos val="nextTo"/>
        <c:txPr>
          <a:bodyPr/>
          <a:lstStyle/>
          <a:p>
            <a:pPr>
              <a:defRPr sz="1400" b="1"/>
            </a:pPr>
            <a:endParaRPr lang="en-US"/>
          </a:p>
        </c:txPr>
        <c:crossAx val="167090816"/>
        <c:crosses val="autoZero"/>
        <c:crossBetween val="midCat"/>
        <c:majorUnit val="6"/>
      </c:valAx>
      <c:valAx>
        <c:axId val="167090816"/>
        <c:scaling>
          <c:orientation val="minMax"/>
        </c:scaling>
        <c:axPos val="l"/>
        <c:majorGridlines/>
        <c:title>
          <c:tx>
            <c:rich>
              <a:bodyPr/>
              <a:lstStyle/>
              <a:p>
                <a:pPr>
                  <a:defRPr sz="1400"/>
                </a:pPr>
                <a:r>
                  <a:rPr lang="en-US" sz="1400"/>
                  <a:t>Power, kWh</a:t>
                </a:r>
              </a:p>
            </c:rich>
          </c:tx>
          <c:layout>
            <c:manualLayout>
              <c:xMode val="edge"/>
              <c:yMode val="edge"/>
              <c:x val="1.4646465461904543E-2"/>
              <c:y val="0.4000000635951888"/>
            </c:manualLayout>
          </c:layout>
        </c:title>
        <c:numFmt formatCode="0" sourceLinked="0"/>
        <c:minorTickMark val="out"/>
        <c:tickLblPos val="nextTo"/>
        <c:txPr>
          <a:bodyPr/>
          <a:lstStyle/>
          <a:p>
            <a:pPr>
              <a:defRPr sz="1400" b="1"/>
            </a:pPr>
            <a:endParaRPr lang="en-US"/>
          </a:p>
        </c:txPr>
        <c:crossAx val="167088512"/>
        <c:crosses val="autoZero"/>
        <c:crossBetween val="midCat"/>
      </c:valAx>
    </c:plotArea>
    <c:legend>
      <c:legendPos val="r"/>
      <c:layout>
        <c:manualLayout>
          <c:xMode val="edge"/>
          <c:yMode val="edge"/>
          <c:x val="0.78860744866183263"/>
          <c:y val="0.35155308989943113"/>
          <c:w val="8.8362241458169816E-2"/>
          <c:h val="0.16559869146539888"/>
        </c:manualLayout>
      </c:layout>
      <c:spPr>
        <a:solidFill>
          <a:sysClr val="window" lastClr="FFFFFF"/>
        </a:solidFill>
        <a:ln>
          <a:solidFill>
            <a:sysClr val="windowText" lastClr="000000"/>
          </a:solidFill>
        </a:ln>
      </c:spPr>
      <c:txPr>
        <a:bodyPr/>
        <a:lstStyle/>
        <a:p>
          <a:pPr>
            <a:defRPr sz="1200"/>
          </a:pPr>
          <a:endParaRPr lang="en-US"/>
        </a:p>
      </c:txPr>
    </c:legend>
    <c:plotVisOnly val="1"/>
  </c:chart>
  <c:spPr>
    <a:ln w="12700">
      <a:solidFill>
        <a:sysClr val="windowText" lastClr="000000"/>
      </a:solidFill>
    </a:ln>
  </c:spPr>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Return on Investment</a:t>
            </a:r>
          </a:p>
        </c:rich>
      </c:tx>
      <c:layout/>
    </c:title>
    <c:plotArea>
      <c:layout>
        <c:manualLayout>
          <c:layoutTarget val="inner"/>
          <c:xMode val="edge"/>
          <c:yMode val="edge"/>
          <c:x val="0.1611890807947472"/>
          <c:y val="8.9892435097930226E-2"/>
          <c:w val="0.77463748844716784"/>
          <c:h val="0.79185294757339864"/>
        </c:manualLayout>
      </c:layout>
      <c:scatterChart>
        <c:scatterStyle val="lineMarker"/>
        <c:ser>
          <c:idx val="0"/>
          <c:order val="0"/>
          <c:tx>
            <c:strRef>
              <c:f>Estimator!$AE$4</c:f>
              <c:strCache>
                <c:ptCount val="1"/>
                <c:pt idx="0">
                  <c:v>Cost Avoided</c:v>
                </c:pt>
              </c:strCache>
            </c:strRef>
          </c:tx>
          <c:marker>
            <c:symbol val="none"/>
          </c:marker>
          <c:xVal>
            <c:numRef>
              <c:f>Estimator!$AC$5:$AC$29</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Estimator!$AE$5:$AE$29</c:f>
              <c:numCache>
                <c:formatCode>0.00</c:formatCode>
                <c:ptCount val="25"/>
                <c:pt idx="1">
                  <c:v>2277.7260577954667</c:v>
                </c:pt>
                <c:pt idx="2">
                  <c:v>3440.248417669206</c:v>
                </c:pt>
                <c:pt idx="3">
                  <c:v>4618.7761770393736</c:v>
                </c:pt>
                <c:pt idx="4">
                  <c:v>5813.4845429418774</c:v>
                </c:pt>
                <c:pt idx="5">
                  <c:v>7024.5493285342636</c:v>
                </c:pt>
                <c:pt idx="6">
                  <c:v>8252.1469072577656</c:v>
                </c:pt>
                <c:pt idx="7">
                  <c:v>9496.4541649233906</c:v>
                </c:pt>
                <c:pt idx="8">
                  <c:v>10757.648449657336</c:v>
                </c:pt>
                <c:pt idx="9">
                  <c:v>12035.907519639266</c:v>
                </c:pt>
                <c:pt idx="10">
                  <c:v>13331.409488565208</c:v>
                </c:pt>
                <c:pt idx="11">
                  <c:v>14644.332768764929</c:v>
                </c:pt>
                <c:pt idx="12">
                  <c:v>15974.856011901809</c:v>
                </c:pt>
                <c:pt idx="13">
                  <c:v>17323.158047181256</c:v>
                </c:pt>
                <c:pt idx="14">
                  <c:v>18689.417816991718</c:v>
                </c:pt>
                <c:pt idx="15">
                  <c:v>20073.814309900325</c:v>
                </c:pt>
                <c:pt idx="16">
                  <c:v>21476.526490923075</c:v>
                </c:pt>
                <c:pt idx="17">
                  <c:v>22897.733228987374</c:v>
                </c:pt>
                <c:pt idx="18">
                  <c:v>24337.61322150247</c:v>
                </c:pt>
                <c:pt idx="19">
                  <c:v>25796.344915951173</c:v>
                </c:pt>
                <c:pt idx="20">
                  <c:v>27274.106428413819</c:v>
                </c:pt>
                <c:pt idx="21">
                  <c:v>28771.075458933192</c:v>
                </c:pt>
                <c:pt idx="22">
                  <c:v>30287.429203626569</c:v>
                </c:pt>
                <c:pt idx="23">
                  <c:v>31823.344263448704</c:v>
                </c:pt>
                <c:pt idx="24">
                  <c:v>33378.996549506875</c:v>
                </c:pt>
              </c:numCache>
            </c:numRef>
          </c:yVal>
        </c:ser>
        <c:ser>
          <c:idx val="1"/>
          <c:order val="1"/>
          <c:tx>
            <c:strRef>
              <c:f>Estimator!$AF$4</c:f>
              <c:strCache>
                <c:ptCount val="1"/>
                <c:pt idx="0">
                  <c:v>Initial cost</c:v>
                </c:pt>
              </c:strCache>
            </c:strRef>
          </c:tx>
          <c:marker>
            <c:symbol val="none"/>
          </c:marker>
          <c:xVal>
            <c:numRef>
              <c:f>Estimator!$AC$5:$AC$29</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xVal>
          <c:yVal>
            <c:numRef>
              <c:f>Estimator!$AF$5:$AF$29</c:f>
              <c:numCache>
                <c:formatCode>0</c:formatCode>
                <c:ptCount val="25"/>
                <c:pt idx="0">
                  <c:v>17500</c:v>
                </c:pt>
                <c:pt idx="1">
                  <c:v>17500</c:v>
                </c:pt>
                <c:pt idx="2">
                  <c:v>17500</c:v>
                </c:pt>
                <c:pt idx="3">
                  <c:v>17500</c:v>
                </c:pt>
                <c:pt idx="4">
                  <c:v>17500</c:v>
                </c:pt>
                <c:pt idx="5">
                  <c:v>17500</c:v>
                </c:pt>
                <c:pt idx="6">
                  <c:v>17500</c:v>
                </c:pt>
                <c:pt idx="7">
                  <c:v>17500</c:v>
                </c:pt>
                <c:pt idx="8">
                  <c:v>17500</c:v>
                </c:pt>
                <c:pt idx="9">
                  <c:v>17500</c:v>
                </c:pt>
                <c:pt idx="10">
                  <c:v>17500</c:v>
                </c:pt>
                <c:pt idx="11">
                  <c:v>17500</c:v>
                </c:pt>
                <c:pt idx="12">
                  <c:v>17500</c:v>
                </c:pt>
                <c:pt idx="13">
                  <c:v>17500</c:v>
                </c:pt>
                <c:pt idx="14">
                  <c:v>17500</c:v>
                </c:pt>
                <c:pt idx="15">
                  <c:v>17500</c:v>
                </c:pt>
                <c:pt idx="16">
                  <c:v>17500</c:v>
                </c:pt>
                <c:pt idx="17">
                  <c:v>17500</c:v>
                </c:pt>
                <c:pt idx="18">
                  <c:v>17500</c:v>
                </c:pt>
                <c:pt idx="19">
                  <c:v>17500</c:v>
                </c:pt>
                <c:pt idx="20">
                  <c:v>17500</c:v>
                </c:pt>
                <c:pt idx="21">
                  <c:v>17500</c:v>
                </c:pt>
                <c:pt idx="22">
                  <c:v>17500</c:v>
                </c:pt>
                <c:pt idx="23">
                  <c:v>17500</c:v>
                </c:pt>
                <c:pt idx="24">
                  <c:v>17500</c:v>
                </c:pt>
              </c:numCache>
            </c:numRef>
          </c:yVal>
        </c:ser>
        <c:axId val="167187200"/>
        <c:axId val="167189120"/>
      </c:scatterChart>
      <c:valAx>
        <c:axId val="167187200"/>
        <c:scaling>
          <c:orientation val="minMax"/>
          <c:max val="25"/>
        </c:scaling>
        <c:axPos val="b"/>
        <c:majorGridlines/>
        <c:minorGridlines/>
        <c:title>
          <c:tx>
            <c:rich>
              <a:bodyPr/>
              <a:lstStyle/>
              <a:p>
                <a:pPr>
                  <a:defRPr sz="1400"/>
                </a:pPr>
                <a:r>
                  <a:rPr lang="en-US" sz="1400"/>
                  <a:t>End-of-Year</a:t>
                </a:r>
              </a:p>
            </c:rich>
          </c:tx>
          <c:layout/>
        </c:title>
        <c:numFmt formatCode="General" sourceLinked="1"/>
        <c:minorTickMark val="out"/>
        <c:tickLblPos val="nextTo"/>
        <c:txPr>
          <a:bodyPr/>
          <a:lstStyle/>
          <a:p>
            <a:pPr>
              <a:defRPr sz="1400" b="1"/>
            </a:pPr>
            <a:endParaRPr lang="en-US"/>
          </a:p>
        </c:txPr>
        <c:crossAx val="167189120"/>
        <c:crosses val="autoZero"/>
        <c:crossBetween val="midCat"/>
      </c:valAx>
      <c:valAx>
        <c:axId val="167189120"/>
        <c:scaling>
          <c:orientation val="minMax"/>
        </c:scaling>
        <c:axPos val="l"/>
        <c:majorGridlines/>
        <c:title>
          <c:tx>
            <c:rich>
              <a:bodyPr/>
              <a:lstStyle/>
              <a:p>
                <a:pPr>
                  <a:defRPr sz="1400"/>
                </a:pPr>
                <a:r>
                  <a:rPr lang="en-US" sz="1400"/>
                  <a:t>Accumulated Cost Avoidance ($)</a:t>
                </a:r>
              </a:p>
            </c:rich>
          </c:tx>
          <c:layout>
            <c:manualLayout>
              <c:xMode val="edge"/>
              <c:yMode val="edge"/>
              <c:x val="2.0505051646666359E-2"/>
              <c:y val="0.29089043439329582"/>
            </c:manualLayout>
          </c:layout>
        </c:title>
        <c:numFmt formatCode="0.00" sourceLinked="1"/>
        <c:minorTickMark val="out"/>
        <c:tickLblPos val="nextTo"/>
        <c:txPr>
          <a:bodyPr/>
          <a:lstStyle/>
          <a:p>
            <a:pPr>
              <a:defRPr sz="1400" b="1"/>
            </a:pPr>
            <a:endParaRPr lang="en-US"/>
          </a:p>
        </c:txPr>
        <c:crossAx val="167187200"/>
        <c:crosses val="autoZero"/>
        <c:crossBetween val="midCat"/>
      </c:valAx>
    </c:plotArea>
    <c:legend>
      <c:legendPos val="r"/>
      <c:layout>
        <c:manualLayout>
          <c:xMode val="edge"/>
          <c:yMode val="edge"/>
          <c:x val="0.7587434209115097"/>
          <c:y val="0.66755678732369861"/>
          <c:w val="0.13726667430896938"/>
          <c:h val="8.2799345732699592E-2"/>
        </c:manualLayout>
      </c:layout>
      <c:spPr>
        <a:solidFill>
          <a:schemeClr val="bg1"/>
        </a:solidFill>
        <a:ln>
          <a:solidFill>
            <a:sysClr val="windowText" lastClr="000000"/>
          </a:solidFill>
        </a:ln>
      </c:spPr>
      <c:txPr>
        <a:bodyPr/>
        <a:lstStyle/>
        <a:p>
          <a:pPr>
            <a:defRPr sz="1200"/>
          </a:pPr>
          <a:endParaRPr lang="en-US"/>
        </a:p>
      </c:txPr>
    </c:legend>
    <c:plotVisOnly val="1"/>
  </c:chart>
  <c:spPr>
    <a:ln w="12700">
      <a:solidFill>
        <a:sysClr val="windowText" lastClr="000000"/>
      </a:solidFill>
    </a:ln>
  </c:spPr>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Directly-Transmitted Solar</a:t>
            </a:r>
            <a:r>
              <a:rPr lang="en-US" baseline="0"/>
              <a:t> Irradiance (Normal to Sun LOS)</a:t>
            </a:r>
            <a:endParaRPr lang="en-US"/>
          </a:p>
        </c:rich>
      </c:tx>
      <c:layout/>
    </c:title>
    <c:plotArea>
      <c:layout>
        <c:manualLayout>
          <c:layoutTarget val="inner"/>
          <c:xMode val="edge"/>
          <c:yMode val="edge"/>
          <c:x val="0.11257757725318572"/>
          <c:y val="8.9892435097930226E-2"/>
          <c:w val="0.81237393372001532"/>
          <c:h val="0.79185294757339864"/>
        </c:manualLayout>
      </c:layout>
      <c:scatterChart>
        <c:scatterStyle val="smoothMarker"/>
        <c:ser>
          <c:idx val="0"/>
          <c:order val="0"/>
          <c:tx>
            <c:strRef>
              <c:f>Estimator!$J$97</c:f>
              <c:strCache>
                <c:ptCount val="1"/>
                <c:pt idx="0">
                  <c:v>Winter</c:v>
                </c:pt>
              </c:strCache>
            </c:strRef>
          </c:tx>
          <c:marker>
            <c:symbol val="none"/>
          </c:marker>
          <c:xVal>
            <c:numRef>
              <c:f>Estimator!$I$98:$I$121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Estimator!$J$98:$J$121</c:f>
              <c:numCache>
                <c:formatCode>0.00</c:formatCode>
                <c:ptCount val="24"/>
                <c:pt idx="0">
                  <c:v>0</c:v>
                </c:pt>
                <c:pt idx="1">
                  <c:v>0</c:v>
                </c:pt>
                <c:pt idx="2">
                  <c:v>0</c:v>
                </c:pt>
                <c:pt idx="3">
                  <c:v>0</c:v>
                </c:pt>
                <c:pt idx="4">
                  <c:v>0</c:v>
                </c:pt>
                <c:pt idx="5">
                  <c:v>0</c:v>
                </c:pt>
                <c:pt idx="6">
                  <c:v>0</c:v>
                </c:pt>
                <c:pt idx="7">
                  <c:v>112.39</c:v>
                </c:pt>
                <c:pt idx="8">
                  <c:v>379.49</c:v>
                </c:pt>
                <c:pt idx="9">
                  <c:v>539.54</c:v>
                </c:pt>
                <c:pt idx="10">
                  <c:v>624.51</c:v>
                </c:pt>
                <c:pt idx="11">
                  <c:v>648.05999999999995</c:v>
                </c:pt>
                <c:pt idx="12">
                  <c:v>648.05999999999995</c:v>
                </c:pt>
                <c:pt idx="13">
                  <c:v>611.98</c:v>
                </c:pt>
                <c:pt idx="14">
                  <c:v>522.84</c:v>
                </c:pt>
                <c:pt idx="15">
                  <c:v>354.46</c:v>
                </c:pt>
                <c:pt idx="16">
                  <c:v>80.069999999999993</c:v>
                </c:pt>
                <c:pt idx="17">
                  <c:v>0</c:v>
                </c:pt>
                <c:pt idx="18">
                  <c:v>0</c:v>
                </c:pt>
                <c:pt idx="19">
                  <c:v>0</c:v>
                </c:pt>
                <c:pt idx="20">
                  <c:v>0</c:v>
                </c:pt>
                <c:pt idx="21">
                  <c:v>0</c:v>
                </c:pt>
                <c:pt idx="22">
                  <c:v>0</c:v>
                </c:pt>
                <c:pt idx="23">
                  <c:v>0</c:v>
                </c:pt>
              </c:numCache>
            </c:numRef>
          </c:yVal>
          <c:smooth val="1"/>
        </c:ser>
        <c:ser>
          <c:idx val="1"/>
          <c:order val="1"/>
          <c:tx>
            <c:strRef>
              <c:f>Estimator!$K$97</c:f>
              <c:strCache>
                <c:ptCount val="1"/>
                <c:pt idx="0">
                  <c:v>Spring</c:v>
                </c:pt>
              </c:strCache>
            </c:strRef>
          </c:tx>
          <c:marker>
            <c:symbol val="none"/>
          </c:marker>
          <c:xVal>
            <c:numRef>
              <c:f>Estimator!$I$98:$I$121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Estimator!$K$98:$K$121</c:f>
              <c:numCache>
                <c:formatCode>0.00</c:formatCode>
                <c:ptCount val="24"/>
                <c:pt idx="0">
                  <c:v>0</c:v>
                </c:pt>
                <c:pt idx="1">
                  <c:v>0</c:v>
                </c:pt>
                <c:pt idx="2">
                  <c:v>0</c:v>
                </c:pt>
                <c:pt idx="3">
                  <c:v>0</c:v>
                </c:pt>
                <c:pt idx="4">
                  <c:v>0</c:v>
                </c:pt>
                <c:pt idx="5">
                  <c:v>232.4</c:v>
                </c:pt>
                <c:pt idx="6">
                  <c:v>432.09</c:v>
                </c:pt>
                <c:pt idx="7">
                  <c:v>570.15</c:v>
                </c:pt>
                <c:pt idx="8">
                  <c:v>657.24</c:v>
                </c:pt>
                <c:pt idx="9">
                  <c:v>705.09</c:v>
                </c:pt>
                <c:pt idx="10">
                  <c:v>735.2</c:v>
                </c:pt>
                <c:pt idx="11">
                  <c:v>746.82</c:v>
                </c:pt>
                <c:pt idx="12">
                  <c:v>738.33</c:v>
                </c:pt>
                <c:pt idx="13">
                  <c:v>717.54</c:v>
                </c:pt>
                <c:pt idx="14">
                  <c:v>669.4</c:v>
                </c:pt>
                <c:pt idx="15">
                  <c:v>597.88</c:v>
                </c:pt>
                <c:pt idx="16">
                  <c:v>476.61</c:v>
                </c:pt>
                <c:pt idx="17">
                  <c:v>279.43</c:v>
                </c:pt>
                <c:pt idx="18">
                  <c:v>30.99</c:v>
                </c:pt>
                <c:pt idx="19">
                  <c:v>0</c:v>
                </c:pt>
                <c:pt idx="20">
                  <c:v>0</c:v>
                </c:pt>
                <c:pt idx="21">
                  <c:v>0</c:v>
                </c:pt>
                <c:pt idx="22">
                  <c:v>0</c:v>
                </c:pt>
                <c:pt idx="23">
                  <c:v>0</c:v>
                </c:pt>
              </c:numCache>
            </c:numRef>
          </c:yVal>
          <c:smooth val="1"/>
        </c:ser>
        <c:ser>
          <c:idx val="2"/>
          <c:order val="2"/>
          <c:tx>
            <c:strRef>
              <c:f>Estimator!$L$97</c:f>
              <c:strCache>
                <c:ptCount val="1"/>
                <c:pt idx="0">
                  <c:v>Summer</c:v>
                </c:pt>
              </c:strCache>
            </c:strRef>
          </c:tx>
          <c:marker>
            <c:symbol val="none"/>
          </c:marker>
          <c:xVal>
            <c:numRef>
              <c:f>Estimator!$I$98:$I$121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Estimator!$L$98:$L$121</c:f>
              <c:numCache>
                <c:formatCode>0.00</c:formatCode>
                <c:ptCount val="24"/>
                <c:pt idx="0">
                  <c:v>0</c:v>
                </c:pt>
                <c:pt idx="1">
                  <c:v>0</c:v>
                </c:pt>
                <c:pt idx="2">
                  <c:v>0</c:v>
                </c:pt>
                <c:pt idx="3">
                  <c:v>0</c:v>
                </c:pt>
                <c:pt idx="4">
                  <c:v>0</c:v>
                </c:pt>
                <c:pt idx="5">
                  <c:v>180.09654570651335</c:v>
                </c:pt>
                <c:pt idx="6">
                  <c:v>411.4005030026176</c:v>
                </c:pt>
                <c:pt idx="7">
                  <c:v>554.13028024431549</c:v>
                </c:pt>
                <c:pt idx="8">
                  <c:v>637.22360519427184</c:v>
                </c:pt>
                <c:pt idx="9">
                  <c:v>693.00169378432474</c:v>
                </c:pt>
                <c:pt idx="10">
                  <c:v>724.15550736539547</c:v>
                </c:pt>
                <c:pt idx="11">
                  <c:v>736.1856875224554</c:v>
                </c:pt>
                <c:pt idx="12">
                  <c:v>733.35622080788369</c:v>
                </c:pt>
                <c:pt idx="13">
                  <c:v>713.70824565005375</c:v>
                </c:pt>
                <c:pt idx="14">
                  <c:v>673.37350510701629</c:v>
                </c:pt>
                <c:pt idx="15">
                  <c:v>607.96929374326328</c:v>
                </c:pt>
                <c:pt idx="16">
                  <c:v>497.75859723861822</c:v>
                </c:pt>
                <c:pt idx="17">
                  <c:v>319.41315505825588</c:v>
                </c:pt>
                <c:pt idx="18">
                  <c:v>52.157162654621978</c:v>
                </c:pt>
                <c:pt idx="19">
                  <c:v>0</c:v>
                </c:pt>
                <c:pt idx="20">
                  <c:v>0</c:v>
                </c:pt>
                <c:pt idx="21">
                  <c:v>0</c:v>
                </c:pt>
                <c:pt idx="22">
                  <c:v>0</c:v>
                </c:pt>
                <c:pt idx="23">
                  <c:v>0</c:v>
                </c:pt>
              </c:numCache>
            </c:numRef>
          </c:yVal>
          <c:smooth val="1"/>
        </c:ser>
        <c:ser>
          <c:idx val="3"/>
          <c:order val="3"/>
          <c:tx>
            <c:strRef>
              <c:f>Estimator!$M$97</c:f>
              <c:strCache>
                <c:ptCount val="1"/>
                <c:pt idx="0">
                  <c:v>Fall</c:v>
                </c:pt>
              </c:strCache>
            </c:strRef>
          </c:tx>
          <c:marker>
            <c:symbol val="none"/>
          </c:marker>
          <c:xVal>
            <c:numRef>
              <c:f>Estimator!$I$98:$I$121</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Estimator!$M$98:$M$121</c:f>
              <c:numCache>
                <c:formatCode>0.00</c:formatCode>
                <c:ptCount val="24"/>
                <c:pt idx="0">
                  <c:v>0</c:v>
                </c:pt>
                <c:pt idx="1">
                  <c:v>0</c:v>
                </c:pt>
                <c:pt idx="2">
                  <c:v>0</c:v>
                </c:pt>
                <c:pt idx="3">
                  <c:v>0</c:v>
                </c:pt>
                <c:pt idx="4">
                  <c:v>0</c:v>
                </c:pt>
                <c:pt idx="5">
                  <c:v>0</c:v>
                </c:pt>
                <c:pt idx="6">
                  <c:v>6.8266113982605159</c:v>
                </c:pt>
                <c:pt idx="7">
                  <c:v>297.10084599115555</c:v>
                </c:pt>
                <c:pt idx="8">
                  <c:v>441.7439971951095</c:v>
                </c:pt>
                <c:pt idx="9">
                  <c:v>578.00948347037343</c:v>
                </c:pt>
                <c:pt idx="10">
                  <c:v>640.23933180270762</c:v>
                </c:pt>
                <c:pt idx="11">
                  <c:v>651.02755126276622</c:v>
                </c:pt>
                <c:pt idx="12">
                  <c:v>616.97352884626264</c:v>
                </c:pt>
                <c:pt idx="13">
                  <c:v>578.00948347037343</c:v>
                </c:pt>
                <c:pt idx="14">
                  <c:v>461.94721037809478</c:v>
                </c:pt>
                <c:pt idx="15">
                  <c:v>238.95115758281781</c:v>
                </c:pt>
                <c:pt idx="16">
                  <c:v>0</c:v>
                </c:pt>
                <c:pt idx="17">
                  <c:v>0</c:v>
                </c:pt>
                <c:pt idx="18">
                  <c:v>0</c:v>
                </c:pt>
                <c:pt idx="19">
                  <c:v>0</c:v>
                </c:pt>
                <c:pt idx="20">
                  <c:v>0</c:v>
                </c:pt>
                <c:pt idx="21">
                  <c:v>0</c:v>
                </c:pt>
                <c:pt idx="22">
                  <c:v>0</c:v>
                </c:pt>
                <c:pt idx="23">
                  <c:v>0</c:v>
                </c:pt>
              </c:numCache>
            </c:numRef>
          </c:yVal>
          <c:smooth val="1"/>
        </c:ser>
        <c:axId val="167240448"/>
        <c:axId val="167242368"/>
      </c:scatterChart>
      <c:valAx>
        <c:axId val="167240448"/>
        <c:scaling>
          <c:orientation val="minMax"/>
          <c:max val="24"/>
          <c:min val="0"/>
        </c:scaling>
        <c:axPos val="b"/>
        <c:majorGridlines/>
        <c:title>
          <c:tx>
            <c:rich>
              <a:bodyPr/>
              <a:lstStyle/>
              <a:p>
                <a:pPr>
                  <a:defRPr sz="1400"/>
                </a:pPr>
                <a:r>
                  <a:rPr lang="en-US" sz="1400"/>
                  <a:t>Time</a:t>
                </a:r>
                <a:r>
                  <a:rPr lang="en-US" sz="1400" baseline="0"/>
                  <a:t> </a:t>
                </a:r>
                <a:r>
                  <a:rPr lang="en-US" sz="1400"/>
                  <a:t>of</a:t>
                </a:r>
                <a:r>
                  <a:rPr lang="en-US" sz="1400" baseline="0"/>
                  <a:t> </a:t>
                </a:r>
                <a:r>
                  <a:rPr lang="en-US" sz="1400"/>
                  <a:t>Day</a:t>
                </a:r>
              </a:p>
            </c:rich>
          </c:tx>
          <c:layout/>
        </c:title>
        <c:numFmt formatCode="General" sourceLinked="1"/>
        <c:minorTickMark val="out"/>
        <c:tickLblPos val="nextTo"/>
        <c:txPr>
          <a:bodyPr/>
          <a:lstStyle/>
          <a:p>
            <a:pPr>
              <a:defRPr sz="1400" b="1"/>
            </a:pPr>
            <a:endParaRPr lang="en-US"/>
          </a:p>
        </c:txPr>
        <c:crossAx val="167242368"/>
        <c:crosses val="autoZero"/>
        <c:crossBetween val="midCat"/>
        <c:majorUnit val="6"/>
      </c:valAx>
      <c:valAx>
        <c:axId val="167242368"/>
        <c:scaling>
          <c:orientation val="minMax"/>
          <c:min val="0"/>
        </c:scaling>
        <c:axPos val="l"/>
        <c:majorGridlines/>
        <c:title>
          <c:tx>
            <c:rich>
              <a:bodyPr/>
              <a:lstStyle/>
              <a:p>
                <a:pPr>
                  <a:defRPr sz="1400"/>
                </a:pPr>
                <a:r>
                  <a:rPr lang="en-US" sz="1400"/>
                  <a:t>Direct Solar Irradiance (DNI), Normal to Sun LOS (W/sq m)</a:t>
                </a:r>
              </a:p>
            </c:rich>
          </c:tx>
          <c:layout>
            <c:manualLayout>
              <c:xMode val="edge"/>
              <c:yMode val="edge"/>
              <c:x val="2.4898991285237732E-2"/>
              <c:y val="0.14041849449838056"/>
            </c:manualLayout>
          </c:layout>
        </c:title>
        <c:numFmt formatCode="0" sourceLinked="0"/>
        <c:minorTickMark val="out"/>
        <c:tickLblPos val="nextTo"/>
        <c:txPr>
          <a:bodyPr/>
          <a:lstStyle/>
          <a:p>
            <a:pPr>
              <a:defRPr sz="1400" b="1"/>
            </a:pPr>
            <a:endParaRPr lang="en-US"/>
          </a:p>
        </c:txPr>
        <c:crossAx val="167240448"/>
        <c:crosses val="autoZero"/>
        <c:crossBetween val="midCat"/>
      </c:valAx>
    </c:plotArea>
    <c:legend>
      <c:legendPos val="r"/>
      <c:layout>
        <c:manualLayout>
          <c:xMode val="edge"/>
          <c:yMode val="edge"/>
          <c:x val="0.71396917599446619"/>
          <c:y val="0.21998799958790363"/>
          <c:w val="0.11466717810125072"/>
          <c:h val="0.17229717268510344"/>
        </c:manualLayout>
      </c:layout>
      <c:spPr>
        <a:solidFill>
          <a:schemeClr val="bg1"/>
        </a:solidFill>
        <a:ln>
          <a:solidFill>
            <a:schemeClr val="tx1"/>
          </a:solidFill>
        </a:ln>
      </c:spPr>
      <c:txPr>
        <a:bodyPr/>
        <a:lstStyle/>
        <a:p>
          <a:pPr>
            <a:defRPr sz="1200"/>
          </a:pPr>
          <a:endParaRPr lang="en-US"/>
        </a:p>
      </c:txPr>
    </c:legend>
    <c:plotVisOnly val="1"/>
  </c:chart>
  <c:spPr>
    <a:ln w="12700">
      <a:solidFill>
        <a:sysClr val="windowText" lastClr="000000"/>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Summer,</a:t>
            </a:r>
            <a:r>
              <a:rPr lang="en-US" baseline="0"/>
              <a:t> Eastern</a:t>
            </a:r>
            <a:endParaRPr lang="en-US"/>
          </a:p>
        </c:rich>
      </c:tx>
    </c:title>
    <c:plotArea>
      <c:layout/>
      <c:scatterChart>
        <c:scatterStyle val="lineMarker"/>
        <c:ser>
          <c:idx val="0"/>
          <c:order val="0"/>
          <c:tx>
            <c:strRef>
              <c:f>Estimator!$AP$99</c:f>
              <c:strCache>
                <c:ptCount val="1"/>
                <c:pt idx="0">
                  <c:v>AZ 25</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Estimator!$AP$100:$AP$123</c:f>
              <c:numCache>
                <c:formatCode>0.00</c:formatCode>
                <c:ptCount val="24"/>
                <c:pt idx="0">
                  <c:v>1.1299999999999999</c:v>
                </c:pt>
                <c:pt idx="1">
                  <c:v>21.51</c:v>
                </c:pt>
                <c:pt idx="2">
                  <c:v>38.42</c:v>
                </c:pt>
                <c:pt idx="3">
                  <c:v>51.27</c:v>
                </c:pt>
                <c:pt idx="4">
                  <c:v>61</c:v>
                </c:pt>
                <c:pt idx="5">
                  <c:v>68.69</c:v>
                </c:pt>
                <c:pt idx="6">
                  <c:v>75.14</c:v>
                </c:pt>
                <c:pt idx="7">
                  <c:v>80.98</c:v>
                </c:pt>
                <c:pt idx="8">
                  <c:v>86.78</c:v>
                </c:pt>
                <c:pt idx="9">
                  <c:v>93.37</c:v>
                </c:pt>
                <c:pt idx="10">
                  <c:v>102.6</c:v>
                </c:pt>
                <c:pt idx="11">
                  <c:v>121.66</c:v>
                </c:pt>
                <c:pt idx="12">
                  <c:v>184.92</c:v>
                </c:pt>
                <c:pt idx="13">
                  <c:v>241.43</c:v>
                </c:pt>
                <c:pt idx="14">
                  <c:v>258.56</c:v>
                </c:pt>
                <c:pt idx="15">
                  <c:v>267.33</c:v>
                </c:pt>
                <c:pt idx="16">
                  <c:v>273.76</c:v>
                </c:pt>
                <c:pt idx="17">
                  <c:v>279.52</c:v>
                </c:pt>
                <c:pt idx="18">
                  <c:v>285.39</c:v>
                </c:pt>
                <c:pt idx="19">
                  <c:v>292.16000000000003</c:v>
                </c:pt>
                <c:pt idx="20">
                  <c:v>300</c:v>
                </c:pt>
                <c:pt idx="21">
                  <c:v>304.66000000000003</c:v>
                </c:pt>
                <c:pt idx="22">
                  <c:v>323.20999999999998</c:v>
                </c:pt>
                <c:pt idx="23">
                  <c:v>340.53</c:v>
                </c:pt>
              </c:numCache>
            </c:numRef>
          </c:yVal>
        </c:ser>
        <c:ser>
          <c:idx val="1"/>
          <c:order val="1"/>
          <c:tx>
            <c:strRef>
              <c:f>Estimator!$AQ$99</c:f>
              <c:strCache>
                <c:ptCount val="1"/>
                <c:pt idx="0">
                  <c:v>ZEN 25</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Estimator!$AQ$100:$AQ$123</c:f>
              <c:numCache>
                <c:formatCode>0.00</c:formatCode>
                <c:ptCount val="24"/>
                <c:pt idx="0">
                  <c:v>137.38</c:v>
                </c:pt>
                <c:pt idx="1">
                  <c:v>134.72999999999999</c:v>
                </c:pt>
                <c:pt idx="2">
                  <c:v>127.93</c:v>
                </c:pt>
                <c:pt idx="3">
                  <c:v>118.37</c:v>
                </c:pt>
                <c:pt idx="4">
                  <c:v>107.16</c:v>
                </c:pt>
                <c:pt idx="5">
                  <c:v>94.91</c:v>
                </c:pt>
                <c:pt idx="6">
                  <c:v>82.1</c:v>
                </c:pt>
                <c:pt idx="7">
                  <c:v>68.87</c:v>
                </c:pt>
                <c:pt idx="8">
                  <c:v>55.47</c:v>
                </c:pt>
                <c:pt idx="9">
                  <c:v>41.97</c:v>
                </c:pt>
                <c:pt idx="10">
                  <c:v>28.61</c:v>
                </c:pt>
                <c:pt idx="11">
                  <c:v>16.03</c:v>
                </c:pt>
                <c:pt idx="12">
                  <c:v>9.11</c:v>
                </c:pt>
                <c:pt idx="13">
                  <c:v>17.29</c:v>
                </c:pt>
                <c:pt idx="14">
                  <c:v>30.04</c:v>
                </c:pt>
                <c:pt idx="15">
                  <c:v>43.46</c:v>
                </c:pt>
                <c:pt idx="16">
                  <c:v>56.96</c:v>
                </c:pt>
                <c:pt idx="17">
                  <c:v>70.38</c:v>
                </c:pt>
                <c:pt idx="18">
                  <c:v>83.57</c:v>
                </c:pt>
                <c:pt idx="19">
                  <c:v>96.2</c:v>
                </c:pt>
                <c:pt idx="20">
                  <c:v>108.18</c:v>
                </c:pt>
                <c:pt idx="21">
                  <c:v>114.03</c:v>
                </c:pt>
                <c:pt idx="22">
                  <c:v>128.76</c:v>
                </c:pt>
                <c:pt idx="23">
                  <c:v>135.72</c:v>
                </c:pt>
              </c:numCache>
            </c:numRef>
          </c:yVal>
        </c:ser>
        <c:ser>
          <c:idx val="2"/>
          <c:order val="2"/>
          <c:tx>
            <c:strRef>
              <c:f>Estimator!$AR$99</c:f>
              <c:strCache>
                <c:ptCount val="1"/>
                <c:pt idx="0">
                  <c:v>AZ 30</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Estimator!$AR$100:$AR$123</c:f>
              <c:numCache>
                <c:formatCode>0.00</c:formatCode>
                <c:ptCount val="24"/>
                <c:pt idx="0">
                  <c:v>359.13</c:v>
                </c:pt>
                <c:pt idx="1">
                  <c:v>18.260000000000002</c:v>
                </c:pt>
                <c:pt idx="2">
                  <c:v>34.94</c:v>
                </c:pt>
                <c:pt idx="3">
                  <c:v>48.33</c:v>
                </c:pt>
                <c:pt idx="4">
                  <c:v>58.94</c:v>
                </c:pt>
                <c:pt idx="5">
                  <c:v>67.61</c:v>
                </c:pt>
                <c:pt idx="6">
                  <c:v>75.11</c:v>
                </c:pt>
                <c:pt idx="7">
                  <c:v>82.09</c:v>
                </c:pt>
                <c:pt idx="8">
                  <c:v>89.21</c:v>
                </c:pt>
                <c:pt idx="9">
                  <c:v>97.47</c:v>
                </c:pt>
                <c:pt idx="10">
                  <c:v>109</c:v>
                </c:pt>
                <c:pt idx="11">
                  <c:v>130.15</c:v>
                </c:pt>
                <c:pt idx="12">
                  <c:v>177.35</c:v>
                </c:pt>
                <c:pt idx="13">
                  <c:v>227.02</c:v>
                </c:pt>
                <c:pt idx="14">
                  <c:v>249.62</c:v>
                </c:pt>
                <c:pt idx="15">
                  <c:v>261.61</c:v>
                </c:pt>
                <c:pt idx="16">
                  <c:v>270.02999999999997</c:v>
                </c:pt>
                <c:pt idx="17">
                  <c:v>277.2</c:v>
                </c:pt>
                <c:pt idx="18">
                  <c:v>284.14999999999998</c:v>
                </c:pt>
                <c:pt idx="19">
                  <c:v>291.77999999999997</c:v>
                </c:pt>
                <c:pt idx="20">
                  <c:v>300.3</c:v>
                </c:pt>
                <c:pt idx="21">
                  <c:v>305.2</c:v>
                </c:pt>
                <c:pt idx="22">
                  <c:v>323.77</c:v>
                </c:pt>
                <c:pt idx="23">
                  <c:v>340.15</c:v>
                </c:pt>
              </c:numCache>
            </c:numRef>
          </c:yVal>
        </c:ser>
        <c:ser>
          <c:idx val="3"/>
          <c:order val="3"/>
          <c:tx>
            <c:strRef>
              <c:f>Estimator!$AS$99</c:f>
              <c:strCache>
                <c:ptCount val="1"/>
                <c:pt idx="0">
                  <c:v>ZEN 30</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Estimator!$AS$100:$AS$123</c:f>
              <c:numCache>
                <c:formatCode>0.00</c:formatCode>
                <c:ptCount val="24"/>
                <c:pt idx="0">
                  <c:v>132.80000000000001</c:v>
                </c:pt>
                <c:pt idx="1">
                  <c:v>130.87</c:v>
                </c:pt>
                <c:pt idx="2">
                  <c:v>125.09</c:v>
                </c:pt>
                <c:pt idx="3">
                  <c:v>116.41</c:v>
                </c:pt>
                <c:pt idx="4">
                  <c:v>105.97</c:v>
                </c:pt>
                <c:pt idx="5">
                  <c:v>94.25</c:v>
                </c:pt>
                <c:pt idx="6">
                  <c:v>82.16</c:v>
                </c:pt>
                <c:pt idx="7">
                  <c:v>69.489999999999995</c:v>
                </c:pt>
                <c:pt idx="8">
                  <c:v>56.42</c:v>
                </c:pt>
                <c:pt idx="9">
                  <c:v>43.68</c:v>
                </c:pt>
                <c:pt idx="10">
                  <c:v>31.08</c:v>
                </c:pt>
                <c:pt idx="11">
                  <c:v>19.760000000000002</c:v>
                </c:pt>
                <c:pt idx="12">
                  <c:v>13.67</c:v>
                </c:pt>
                <c:pt idx="13">
                  <c:v>18.940000000000001</c:v>
                </c:pt>
                <c:pt idx="14">
                  <c:v>30.01</c:v>
                </c:pt>
                <c:pt idx="15">
                  <c:v>42.66</c:v>
                </c:pt>
                <c:pt idx="16">
                  <c:v>55.52</c:v>
                </c:pt>
                <c:pt idx="17">
                  <c:v>68.430000000000007</c:v>
                </c:pt>
                <c:pt idx="18">
                  <c:v>81.19</c:v>
                </c:pt>
                <c:pt idx="19">
                  <c:v>93.3</c:v>
                </c:pt>
                <c:pt idx="20">
                  <c:v>104.94</c:v>
                </c:pt>
                <c:pt idx="21">
                  <c:v>110.48</c:v>
                </c:pt>
                <c:pt idx="22">
                  <c:v>124.33</c:v>
                </c:pt>
                <c:pt idx="23">
                  <c:v>130.34</c:v>
                </c:pt>
              </c:numCache>
            </c:numRef>
          </c:yVal>
        </c:ser>
        <c:ser>
          <c:idx val="4"/>
          <c:order val="4"/>
          <c:tx>
            <c:strRef>
              <c:f>Estimator!$AT$99</c:f>
              <c:strCache>
                <c:ptCount val="1"/>
                <c:pt idx="0">
                  <c:v>AZ 35</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Estimator!$AT$100:$AT$123</c:f>
              <c:numCache>
                <c:formatCode>0.00</c:formatCode>
                <c:ptCount val="24"/>
                <c:pt idx="0">
                  <c:v>0.19</c:v>
                </c:pt>
                <c:pt idx="1">
                  <c:v>18.03</c:v>
                </c:pt>
                <c:pt idx="2">
                  <c:v>33.99</c:v>
                </c:pt>
                <c:pt idx="3">
                  <c:v>47.35</c:v>
                </c:pt>
                <c:pt idx="4">
                  <c:v>58.41</c:v>
                </c:pt>
                <c:pt idx="5">
                  <c:v>67.819999999999993</c:v>
                </c:pt>
                <c:pt idx="6">
                  <c:v>76.260000000000005</c:v>
                </c:pt>
                <c:pt idx="7">
                  <c:v>84.36</c:v>
                </c:pt>
                <c:pt idx="8">
                  <c:v>92.89</c:v>
                </c:pt>
                <c:pt idx="9">
                  <c:v>103.02</c:v>
                </c:pt>
                <c:pt idx="10">
                  <c:v>117.09</c:v>
                </c:pt>
                <c:pt idx="11">
                  <c:v>140.61000000000001</c:v>
                </c:pt>
                <c:pt idx="12">
                  <c:v>180.51</c:v>
                </c:pt>
                <c:pt idx="13">
                  <c:v>220.06</c:v>
                </c:pt>
                <c:pt idx="14">
                  <c:v>243.24</c:v>
                </c:pt>
                <c:pt idx="15">
                  <c:v>257.16000000000003</c:v>
                </c:pt>
                <c:pt idx="16">
                  <c:v>267.22000000000003</c:v>
                </c:pt>
                <c:pt idx="17">
                  <c:v>275.72000000000003</c:v>
                </c:pt>
                <c:pt idx="18">
                  <c:v>283.81</c:v>
                </c:pt>
                <c:pt idx="19">
                  <c:v>292.45</c:v>
                </c:pt>
                <c:pt idx="20">
                  <c:v>301.87</c:v>
                </c:pt>
                <c:pt idx="21">
                  <c:v>307.14999999999998</c:v>
                </c:pt>
                <c:pt idx="22">
                  <c:v>326.35000000000002</c:v>
                </c:pt>
                <c:pt idx="23">
                  <c:v>342.34</c:v>
                </c:pt>
              </c:numCache>
            </c:numRef>
          </c:yVal>
        </c:ser>
        <c:ser>
          <c:idx val="5"/>
          <c:order val="5"/>
          <c:tx>
            <c:strRef>
              <c:f>Estimator!$AU$99</c:f>
              <c:strCache>
                <c:ptCount val="1"/>
                <c:pt idx="0">
                  <c:v>ZEN 35</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Estimator!$AU$100:$AU$123</c:f>
              <c:numCache>
                <c:formatCode>0.00</c:formatCode>
                <c:ptCount val="24"/>
                <c:pt idx="0">
                  <c:v>127.99</c:v>
                </c:pt>
                <c:pt idx="1">
                  <c:v>126.05</c:v>
                </c:pt>
                <c:pt idx="2">
                  <c:v>120.66</c:v>
                </c:pt>
                <c:pt idx="3">
                  <c:v>112.63</c:v>
                </c:pt>
                <c:pt idx="4">
                  <c:v>102.97</c:v>
                </c:pt>
                <c:pt idx="5">
                  <c:v>91.99</c:v>
                </c:pt>
                <c:pt idx="6">
                  <c:v>80.3</c:v>
                </c:pt>
                <c:pt idx="7">
                  <c:v>68.3</c:v>
                </c:pt>
                <c:pt idx="8">
                  <c:v>56.1</c:v>
                </c:pt>
                <c:pt idx="9">
                  <c:v>44.02</c:v>
                </c:pt>
                <c:pt idx="10">
                  <c:v>32.35</c:v>
                </c:pt>
                <c:pt idx="11">
                  <c:v>22.73</c:v>
                </c:pt>
                <c:pt idx="12">
                  <c:v>18.5</c:v>
                </c:pt>
                <c:pt idx="13">
                  <c:v>22.97</c:v>
                </c:pt>
                <c:pt idx="14">
                  <c:v>32.619999999999997</c:v>
                </c:pt>
                <c:pt idx="15">
                  <c:v>44.17</c:v>
                </c:pt>
                <c:pt idx="16">
                  <c:v>56.23</c:v>
                </c:pt>
                <c:pt idx="17">
                  <c:v>68.599999999999994</c:v>
                </c:pt>
                <c:pt idx="18">
                  <c:v>80.650000000000006</c:v>
                </c:pt>
                <c:pt idx="19">
                  <c:v>92.09</c:v>
                </c:pt>
                <c:pt idx="20">
                  <c:v>103.04</c:v>
                </c:pt>
                <c:pt idx="21">
                  <c:v>108.09</c:v>
                </c:pt>
                <c:pt idx="22">
                  <c:v>120.78</c:v>
                </c:pt>
                <c:pt idx="23">
                  <c:v>126.1</c:v>
                </c:pt>
              </c:numCache>
            </c:numRef>
          </c:yVal>
        </c:ser>
        <c:ser>
          <c:idx val="6"/>
          <c:order val="6"/>
          <c:tx>
            <c:strRef>
              <c:f>Estimator!$AV$99</c:f>
              <c:strCache>
                <c:ptCount val="1"/>
                <c:pt idx="0">
                  <c:v>AZ 40</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Estimator!$AV$100:$AV$123</c:f>
              <c:numCache>
                <c:formatCode>0.00</c:formatCode>
                <c:ptCount val="24"/>
                <c:pt idx="0">
                  <c:v>357.74</c:v>
                </c:pt>
                <c:pt idx="1">
                  <c:v>14.71</c:v>
                </c:pt>
                <c:pt idx="2">
                  <c:v>30.46</c:v>
                </c:pt>
                <c:pt idx="3">
                  <c:v>44.21</c:v>
                </c:pt>
                <c:pt idx="4">
                  <c:v>56.03</c:v>
                </c:pt>
                <c:pt idx="5">
                  <c:v>66.36</c:v>
                </c:pt>
                <c:pt idx="6">
                  <c:v>75.8</c:v>
                </c:pt>
                <c:pt idx="7">
                  <c:v>84.97</c:v>
                </c:pt>
                <c:pt idx="8">
                  <c:v>94.63</c:v>
                </c:pt>
                <c:pt idx="9">
                  <c:v>105.9</c:v>
                </c:pt>
                <c:pt idx="10">
                  <c:v>120.76</c:v>
                </c:pt>
                <c:pt idx="11">
                  <c:v>142.82</c:v>
                </c:pt>
                <c:pt idx="12">
                  <c:v>175.24</c:v>
                </c:pt>
                <c:pt idx="13">
                  <c:v>209.63</c:v>
                </c:pt>
                <c:pt idx="14">
                  <c:v>234.29</c:v>
                </c:pt>
                <c:pt idx="15">
                  <c:v>250.59</c:v>
                </c:pt>
                <c:pt idx="16">
                  <c:v>262.54000000000002</c:v>
                </c:pt>
                <c:pt idx="17">
                  <c:v>272.48</c:v>
                </c:pt>
                <c:pt idx="18">
                  <c:v>281.69</c:v>
                </c:pt>
                <c:pt idx="19">
                  <c:v>291.17</c:v>
                </c:pt>
                <c:pt idx="20">
                  <c:v>301.19</c:v>
                </c:pt>
                <c:pt idx="21">
                  <c:v>306.66000000000003</c:v>
                </c:pt>
                <c:pt idx="22">
                  <c:v>325.73</c:v>
                </c:pt>
                <c:pt idx="23">
                  <c:v>340.97</c:v>
                </c:pt>
              </c:numCache>
            </c:numRef>
          </c:yVal>
        </c:ser>
        <c:ser>
          <c:idx val="7"/>
          <c:order val="7"/>
          <c:tx>
            <c:strRef>
              <c:f>Estimator!$AW$99</c:f>
              <c:strCache>
                <c:ptCount val="1"/>
                <c:pt idx="0">
                  <c:v>ZEN 40</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Estimator!$AW$100:$AW$123</c:f>
              <c:numCache>
                <c:formatCode>0.00</c:formatCode>
                <c:ptCount val="24"/>
                <c:pt idx="0">
                  <c:v>123.26</c:v>
                </c:pt>
                <c:pt idx="1">
                  <c:v>121.88</c:v>
                </c:pt>
                <c:pt idx="2">
                  <c:v>117.48</c:v>
                </c:pt>
                <c:pt idx="3">
                  <c:v>110.52</c:v>
                </c:pt>
                <c:pt idx="4">
                  <c:v>101.67</c:v>
                </c:pt>
                <c:pt idx="5">
                  <c:v>91.62</c:v>
                </c:pt>
                <c:pt idx="6">
                  <c:v>80.760000000000005</c:v>
                </c:pt>
                <c:pt idx="7">
                  <c:v>69.48</c:v>
                </c:pt>
                <c:pt idx="8">
                  <c:v>58.01</c:v>
                </c:pt>
                <c:pt idx="9">
                  <c:v>46.71</c:v>
                </c:pt>
                <c:pt idx="10">
                  <c:v>36.659999999999997</c:v>
                </c:pt>
                <c:pt idx="11">
                  <c:v>27.56</c:v>
                </c:pt>
                <c:pt idx="12">
                  <c:v>23.41</c:v>
                </c:pt>
                <c:pt idx="13">
                  <c:v>25.91</c:v>
                </c:pt>
                <c:pt idx="14">
                  <c:v>33.659999999999997</c:v>
                </c:pt>
                <c:pt idx="15">
                  <c:v>43.89</c:v>
                </c:pt>
                <c:pt idx="16">
                  <c:v>55.09</c:v>
                </c:pt>
                <c:pt idx="17">
                  <c:v>66.540000000000006</c:v>
                </c:pt>
                <c:pt idx="18">
                  <c:v>78.010000000000005</c:v>
                </c:pt>
                <c:pt idx="19">
                  <c:v>88.74</c:v>
                </c:pt>
                <c:pt idx="20">
                  <c:v>99.04</c:v>
                </c:pt>
                <c:pt idx="21">
                  <c:v>103.22</c:v>
                </c:pt>
                <c:pt idx="22">
                  <c:v>115.78</c:v>
                </c:pt>
                <c:pt idx="23">
                  <c:v>120.99</c:v>
                </c:pt>
              </c:numCache>
            </c:numRef>
          </c:yVal>
        </c:ser>
        <c:ser>
          <c:idx val="8"/>
          <c:order val="8"/>
          <c:tx>
            <c:strRef>
              <c:f>Estimator!$AX$99</c:f>
              <c:strCache>
                <c:ptCount val="1"/>
                <c:pt idx="0">
                  <c:v>AZ 42</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Estimator!$AX$100:$AX$123</c:f>
              <c:numCache>
                <c:formatCode>0.00</c:formatCode>
                <c:ptCount val="24"/>
                <c:pt idx="0">
                  <c:v>2.37</c:v>
                </c:pt>
                <c:pt idx="1">
                  <c:v>18.670000000000002</c:v>
                </c:pt>
                <c:pt idx="2">
                  <c:v>33.700000000000003</c:v>
                </c:pt>
                <c:pt idx="3">
                  <c:v>46.98</c:v>
                </c:pt>
                <c:pt idx="4">
                  <c:v>58.63</c:v>
                </c:pt>
                <c:pt idx="5">
                  <c:v>69.099999999999994</c:v>
                </c:pt>
                <c:pt idx="6">
                  <c:v>78.94</c:v>
                </c:pt>
                <c:pt idx="7">
                  <c:v>88.8</c:v>
                </c:pt>
                <c:pt idx="8">
                  <c:v>99.5</c:v>
                </c:pt>
                <c:pt idx="9">
                  <c:v>112.28</c:v>
                </c:pt>
                <c:pt idx="10">
                  <c:v>129.24</c:v>
                </c:pt>
                <c:pt idx="11">
                  <c:v>153.37</c:v>
                </c:pt>
                <c:pt idx="12">
                  <c:v>184.66</c:v>
                </c:pt>
                <c:pt idx="13">
                  <c:v>214.4</c:v>
                </c:pt>
                <c:pt idx="14">
                  <c:v>236.17</c:v>
                </c:pt>
                <c:pt idx="15">
                  <c:v>251.63</c:v>
                </c:pt>
                <c:pt idx="16">
                  <c:v>263.63</c:v>
                </c:pt>
                <c:pt idx="17">
                  <c:v>273.97000000000003</c:v>
                </c:pt>
                <c:pt idx="18">
                  <c:v>283.75</c:v>
                </c:pt>
                <c:pt idx="19">
                  <c:v>293.88</c:v>
                </c:pt>
                <c:pt idx="20">
                  <c:v>304.61</c:v>
                </c:pt>
                <c:pt idx="21">
                  <c:v>310.44</c:v>
                </c:pt>
                <c:pt idx="22">
                  <c:v>330.43</c:v>
                </c:pt>
                <c:pt idx="23">
                  <c:v>345.89</c:v>
                </c:pt>
              </c:numCache>
            </c:numRef>
          </c:yVal>
        </c:ser>
        <c:ser>
          <c:idx val="9"/>
          <c:order val="9"/>
          <c:tx>
            <c:strRef>
              <c:f>Estimator!$AY$99</c:f>
              <c:strCache>
                <c:ptCount val="1"/>
                <c:pt idx="0">
                  <c:v>ZEN 42</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Estimator!$AY$100:$AY$123</c:f>
              <c:numCache>
                <c:formatCode>0.00</c:formatCode>
                <c:ptCount val="24"/>
                <c:pt idx="0">
                  <c:v>120.29</c:v>
                </c:pt>
                <c:pt idx="1">
                  <c:v>118.26</c:v>
                </c:pt>
                <c:pt idx="2">
                  <c:v>113.3</c:v>
                </c:pt>
                <c:pt idx="3">
                  <c:v>106.26</c:v>
                </c:pt>
                <c:pt idx="4">
                  <c:v>97.52</c:v>
                </c:pt>
                <c:pt idx="5">
                  <c:v>87.69</c:v>
                </c:pt>
                <c:pt idx="6">
                  <c:v>77.25</c:v>
                </c:pt>
                <c:pt idx="7">
                  <c:v>66.3</c:v>
                </c:pt>
                <c:pt idx="8">
                  <c:v>55.3</c:v>
                </c:pt>
                <c:pt idx="9">
                  <c:v>44.72</c:v>
                </c:pt>
                <c:pt idx="10">
                  <c:v>35.340000000000003</c:v>
                </c:pt>
                <c:pt idx="11">
                  <c:v>28.39</c:v>
                </c:pt>
                <c:pt idx="12">
                  <c:v>26.24</c:v>
                </c:pt>
                <c:pt idx="13">
                  <c:v>29.97</c:v>
                </c:pt>
                <c:pt idx="14">
                  <c:v>37.840000000000003</c:v>
                </c:pt>
                <c:pt idx="15">
                  <c:v>47.75</c:v>
                </c:pt>
                <c:pt idx="16">
                  <c:v>58.34</c:v>
                </c:pt>
                <c:pt idx="17">
                  <c:v>69.53</c:v>
                </c:pt>
                <c:pt idx="18">
                  <c:v>80.31</c:v>
                </c:pt>
                <c:pt idx="19">
                  <c:v>90.51</c:v>
                </c:pt>
                <c:pt idx="20">
                  <c:v>100.08</c:v>
                </c:pt>
                <c:pt idx="21">
                  <c:v>104.44</c:v>
                </c:pt>
                <c:pt idx="22">
                  <c:v>115</c:v>
                </c:pt>
                <c:pt idx="23">
                  <c:v>119.1</c:v>
                </c:pt>
              </c:numCache>
            </c:numRef>
          </c:yVal>
        </c:ser>
        <c:ser>
          <c:idx val="10"/>
          <c:order val="10"/>
          <c:tx>
            <c:strRef>
              <c:f>Estimator!$AZ$99</c:f>
              <c:strCache>
                <c:ptCount val="1"/>
                <c:pt idx="0">
                  <c:v>AZ 43</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Estimator!$AZ$100:$AZ$123</c:f>
              <c:numCache>
                <c:formatCode>0.00</c:formatCode>
                <c:ptCount val="24"/>
                <c:pt idx="0">
                  <c:v>11.7</c:v>
                </c:pt>
                <c:pt idx="1">
                  <c:v>27.29</c:v>
                </c:pt>
                <c:pt idx="2">
                  <c:v>41.32</c:v>
                </c:pt>
                <c:pt idx="3">
                  <c:v>53.68</c:v>
                </c:pt>
                <c:pt idx="4">
                  <c:v>64.69</c:v>
                </c:pt>
                <c:pt idx="5">
                  <c:v>74.87</c:v>
                </c:pt>
                <c:pt idx="6">
                  <c:v>84.79</c:v>
                </c:pt>
                <c:pt idx="7">
                  <c:v>95.19</c:v>
                </c:pt>
                <c:pt idx="8">
                  <c:v>107.08</c:v>
                </c:pt>
                <c:pt idx="9">
                  <c:v>122.08</c:v>
                </c:pt>
                <c:pt idx="10">
                  <c:v>142.77000000000001</c:v>
                </c:pt>
                <c:pt idx="11">
                  <c:v>171.02</c:v>
                </c:pt>
                <c:pt idx="12">
                  <c:v>201.97</c:v>
                </c:pt>
                <c:pt idx="13">
                  <c:v>226.97</c:v>
                </c:pt>
                <c:pt idx="14">
                  <c:v>244.83</c:v>
                </c:pt>
                <c:pt idx="15">
                  <c:v>258.22000000000003</c:v>
                </c:pt>
                <c:pt idx="16">
                  <c:v>269.3</c:v>
                </c:pt>
                <c:pt idx="17">
                  <c:v>279.38</c:v>
                </c:pt>
                <c:pt idx="18">
                  <c:v>289.33</c:v>
                </c:pt>
                <c:pt idx="19">
                  <c:v>299.95</c:v>
                </c:pt>
                <c:pt idx="20">
                  <c:v>311.47000000000003</c:v>
                </c:pt>
                <c:pt idx="21">
                  <c:v>317.77</c:v>
                </c:pt>
                <c:pt idx="22">
                  <c:v>339.23</c:v>
                </c:pt>
                <c:pt idx="23">
                  <c:v>355.29</c:v>
                </c:pt>
              </c:numCache>
            </c:numRef>
          </c:yVal>
        </c:ser>
        <c:ser>
          <c:idx val="11"/>
          <c:order val="11"/>
          <c:tx>
            <c:strRef>
              <c:f>Estimator!$BA$99</c:f>
              <c:strCache>
                <c:ptCount val="1"/>
                <c:pt idx="0">
                  <c:v>ZEN 43</c:v>
                </c:pt>
              </c:strCache>
            </c:strRef>
          </c:tx>
          <c:marker>
            <c:symbol val="none"/>
          </c:marker>
          <c:xVal>
            <c:numRef>
              <c:f>Estimator!$AO$100:$AO$123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Estimator!$BA$100:$BA$123</c:f>
              <c:numCache>
                <c:formatCode>0.00</c:formatCode>
                <c:ptCount val="24"/>
                <c:pt idx="0">
                  <c:v>118.71</c:v>
                </c:pt>
                <c:pt idx="1">
                  <c:v>115.01</c:v>
                </c:pt>
                <c:pt idx="2">
                  <c:v>108.97</c:v>
                </c:pt>
                <c:pt idx="3">
                  <c:v>100.99</c:v>
                </c:pt>
                <c:pt idx="4">
                  <c:v>91.65</c:v>
                </c:pt>
                <c:pt idx="5">
                  <c:v>81.52</c:v>
                </c:pt>
                <c:pt idx="6">
                  <c:v>70.91</c:v>
                </c:pt>
                <c:pt idx="7">
                  <c:v>59.9</c:v>
                </c:pt>
                <c:pt idx="8">
                  <c:v>49.4</c:v>
                </c:pt>
                <c:pt idx="9">
                  <c:v>39.549999999999997</c:v>
                </c:pt>
                <c:pt idx="10">
                  <c:v>31.52</c:v>
                </c:pt>
                <c:pt idx="11">
                  <c:v>27.14</c:v>
                </c:pt>
                <c:pt idx="12">
                  <c:v>28.43</c:v>
                </c:pt>
                <c:pt idx="13">
                  <c:v>34.65</c:v>
                </c:pt>
                <c:pt idx="14">
                  <c:v>43.68</c:v>
                </c:pt>
                <c:pt idx="15">
                  <c:v>53.98</c:v>
                </c:pt>
                <c:pt idx="16">
                  <c:v>64.760000000000005</c:v>
                </c:pt>
                <c:pt idx="17">
                  <c:v>75.59</c:v>
                </c:pt>
                <c:pt idx="18">
                  <c:v>86.07</c:v>
                </c:pt>
                <c:pt idx="19">
                  <c:v>95.72</c:v>
                </c:pt>
                <c:pt idx="20">
                  <c:v>104.86</c:v>
                </c:pt>
                <c:pt idx="21">
                  <c:v>108.39</c:v>
                </c:pt>
                <c:pt idx="22">
                  <c:v>117</c:v>
                </c:pt>
                <c:pt idx="23">
                  <c:v>119.38</c:v>
                </c:pt>
              </c:numCache>
            </c:numRef>
          </c:yVal>
        </c:ser>
        <c:axId val="130700800"/>
        <c:axId val="130702720"/>
      </c:scatterChart>
      <c:valAx>
        <c:axId val="130700800"/>
        <c:scaling>
          <c:orientation val="minMax"/>
        </c:scaling>
        <c:axPos val="b"/>
        <c:title/>
        <c:numFmt formatCode="General" sourceLinked="1"/>
        <c:majorTickMark val="none"/>
        <c:tickLblPos val="nextTo"/>
        <c:crossAx val="130702720"/>
        <c:crosses val="autoZero"/>
        <c:crossBetween val="midCat"/>
      </c:valAx>
      <c:valAx>
        <c:axId val="130702720"/>
        <c:scaling>
          <c:orientation val="minMax"/>
        </c:scaling>
        <c:axPos val="l"/>
        <c:majorGridlines/>
        <c:title/>
        <c:numFmt formatCode="0.00" sourceLinked="1"/>
        <c:majorTickMark val="none"/>
        <c:tickLblPos val="nextTo"/>
        <c:crossAx val="130700800"/>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Fall,</a:t>
            </a:r>
            <a:r>
              <a:rPr lang="en-US" baseline="0"/>
              <a:t> Eastern</a:t>
            </a:r>
            <a:endParaRPr lang="en-US"/>
          </a:p>
        </c:rich>
      </c:tx>
    </c:title>
    <c:plotArea>
      <c:layout/>
      <c:scatterChart>
        <c:scatterStyle val="lineMarker"/>
        <c:ser>
          <c:idx val="0"/>
          <c:order val="0"/>
          <c:tx>
            <c:strRef>
              <c:f>Estimator!$AP$129</c:f>
              <c:strCache>
                <c:ptCount val="1"/>
                <c:pt idx="0">
                  <c:v>AZ 25</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Estimator!$AP$130:$AP$153</c:f>
              <c:numCache>
                <c:formatCode>0.00</c:formatCode>
                <c:ptCount val="24"/>
                <c:pt idx="0">
                  <c:v>31.5</c:v>
                </c:pt>
                <c:pt idx="1">
                  <c:v>67.05</c:v>
                </c:pt>
                <c:pt idx="2">
                  <c:v>80.489999999999995</c:v>
                </c:pt>
                <c:pt idx="3">
                  <c:v>88.49</c:v>
                </c:pt>
                <c:pt idx="4">
                  <c:v>94.79</c:v>
                </c:pt>
                <c:pt idx="5">
                  <c:v>100.66</c:v>
                </c:pt>
                <c:pt idx="6">
                  <c:v>106.79</c:v>
                </c:pt>
                <c:pt idx="7">
                  <c:v>113.78</c:v>
                </c:pt>
                <c:pt idx="8">
                  <c:v>122.35</c:v>
                </c:pt>
                <c:pt idx="9">
                  <c:v>133.49</c:v>
                </c:pt>
                <c:pt idx="10">
                  <c:v>148.4</c:v>
                </c:pt>
                <c:pt idx="11">
                  <c:v>167.64</c:v>
                </c:pt>
                <c:pt idx="12">
                  <c:v>189.25</c:v>
                </c:pt>
                <c:pt idx="13">
                  <c:v>209.03</c:v>
                </c:pt>
                <c:pt idx="14">
                  <c:v>224.55</c:v>
                </c:pt>
                <c:pt idx="15">
                  <c:v>236.14</c:v>
                </c:pt>
                <c:pt idx="16">
                  <c:v>244.99</c:v>
                </c:pt>
                <c:pt idx="17">
                  <c:v>252.14</c:v>
                </c:pt>
                <c:pt idx="18">
                  <c:v>258.32</c:v>
                </c:pt>
                <c:pt idx="19">
                  <c:v>264.47000000000003</c:v>
                </c:pt>
                <c:pt idx="20">
                  <c:v>270.64</c:v>
                </c:pt>
                <c:pt idx="21">
                  <c:v>274.14999999999998</c:v>
                </c:pt>
                <c:pt idx="22">
                  <c:v>290.39999999999998</c:v>
                </c:pt>
                <c:pt idx="23">
                  <c:v>320.32</c:v>
                </c:pt>
              </c:numCache>
            </c:numRef>
          </c:yVal>
        </c:ser>
        <c:ser>
          <c:idx val="1"/>
          <c:order val="1"/>
          <c:tx>
            <c:strRef>
              <c:f>Estimator!$AQ$129</c:f>
              <c:strCache>
                <c:ptCount val="1"/>
                <c:pt idx="0">
                  <c:v>ZEN 25</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Estimator!$AQ$130:$AQ$153</c:f>
              <c:numCache>
                <c:formatCode>0.00</c:formatCode>
                <c:ptCount val="24"/>
                <c:pt idx="0">
                  <c:v>168.13</c:v>
                </c:pt>
                <c:pt idx="1">
                  <c:v>157.34</c:v>
                </c:pt>
                <c:pt idx="2">
                  <c:v>144.41999999999999</c:v>
                </c:pt>
                <c:pt idx="3">
                  <c:v>131.13999999999999</c:v>
                </c:pt>
                <c:pt idx="4">
                  <c:v>117.64</c:v>
                </c:pt>
                <c:pt idx="5">
                  <c:v>104.26</c:v>
                </c:pt>
                <c:pt idx="6">
                  <c:v>91.15</c:v>
                </c:pt>
                <c:pt idx="7">
                  <c:v>78.47</c:v>
                </c:pt>
                <c:pt idx="8">
                  <c:v>66.62</c:v>
                </c:pt>
                <c:pt idx="9">
                  <c:v>55.91</c:v>
                </c:pt>
                <c:pt idx="10">
                  <c:v>47.36</c:v>
                </c:pt>
                <c:pt idx="11">
                  <c:v>42.24</c:v>
                </c:pt>
                <c:pt idx="12">
                  <c:v>41.91</c:v>
                </c:pt>
                <c:pt idx="13">
                  <c:v>46.37</c:v>
                </c:pt>
                <c:pt idx="14">
                  <c:v>54.53</c:v>
                </c:pt>
                <c:pt idx="15">
                  <c:v>64.98</c:v>
                </c:pt>
                <c:pt idx="16">
                  <c:v>76.790000000000006</c:v>
                </c:pt>
                <c:pt idx="17">
                  <c:v>89.34</c:v>
                </c:pt>
                <c:pt idx="18">
                  <c:v>102.37</c:v>
                </c:pt>
                <c:pt idx="19">
                  <c:v>115.63</c:v>
                </c:pt>
                <c:pt idx="20">
                  <c:v>129.15</c:v>
                </c:pt>
                <c:pt idx="21">
                  <c:v>135.88999999999999</c:v>
                </c:pt>
                <c:pt idx="22">
                  <c:v>155.71</c:v>
                </c:pt>
                <c:pt idx="23">
                  <c:v>166.98</c:v>
                </c:pt>
              </c:numCache>
            </c:numRef>
          </c:yVal>
        </c:ser>
        <c:ser>
          <c:idx val="2"/>
          <c:order val="2"/>
          <c:tx>
            <c:strRef>
              <c:f>Estimator!$AR$129</c:f>
              <c:strCache>
                <c:ptCount val="1"/>
                <c:pt idx="0">
                  <c:v>AZ 30</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Estimator!$AR$130:$AR$153</c:f>
              <c:numCache>
                <c:formatCode>0.00</c:formatCode>
                <c:ptCount val="24"/>
                <c:pt idx="0">
                  <c:v>18.07</c:v>
                </c:pt>
                <c:pt idx="1">
                  <c:v>55.4</c:v>
                </c:pt>
                <c:pt idx="2">
                  <c:v>73.069999999999993</c:v>
                </c:pt>
                <c:pt idx="3">
                  <c:v>83.66</c:v>
                </c:pt>
                <c:pt idx="4">
                  <c:v>91.67</c:v>
                </c:pt>
                <c:pt idx="5">
                  <c:v>98.79</c:v>
                </c:pt>
                <c:pt idx="6">
                  <c:v>105.93</c:v>
                </c:pt>
                <c:pt idx="7">
                  <c:v>113.74</c:v>
                </c:pt>
                <c:pt idx="8">
                  <c:v>122.92</c:v>
                </c:pt>
                <c:pt idx="9">
                  <c:v>134.31</c:v>
                </c:pt>
                <c:pt idx="10">
                  <c:v>148.80000000000001</c:v>
                </c:pt>
                <c:pt idx="11">
                  <c:v>166.71</c:v>
                </c:pt>
                <c:pt idx="12">
                  <c:v>186.59</c:v>
                </c:pt>
                <c:pt idx="13">
                  <c:v>205.43</c:v>
                </c:pt>
                <c:pt idx="14">
                  <c:v>221.09</c:v>
                </c:pt>
                <c:pt idx="15">
                  <c:v>233.42</c:v>
                </c:pt>
                <c:pt idx="16">
                  <c:v>243.23</c:v>
                </c:pt>
                <c:pt idx="17">
                  <c:v>251.4</c:v>
                </c:pt>
                <c:pt idx="18">
                  <c:v>258.66000000000003</c:v>
                </c:pt>
                <c:pt idx="19">
                  <c:v>265.98</c:v>
                </c:pt>
                <c:pt idx="20">
                  <c:v>273.54000000000002</c:v>
                </c:pt>
                <c:pt idx="21">
                  <c:v>277.89</c:v>
                </c:pt>
                <c:pt idx="22">
                  <c:v>297.31</c:v>
                </c:pt>
                <c:pt idx="23">
                  <c:v>325.93</c:v>
                </c:pt>
              </c:numCache>
            </c:numRef>
          </c:yVal>
        </c:ser>
        <c:ser>
          <c:idx val="3"/>
          <c:order val="3"/>
          <c:tx>
            <c:strRef>
              <c:f>Estimator!$AS$129</c:f>
              <c:strCache>
                <c:ptCount val="1"/>
                <c:pt idx="0">
                  <c:v>ZEN 30</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Estimator!$AS$130:$AS$153</c:f>
              <c:numCache>
                <c:formatCode>0.00</c:formatCode>
                <c:ptCount val="24"/>
                <c:pt idx="0">
                  <c:v>164.52</c:v>
                </c:pt>
                <c:pt idx="1">
                  <c:v>156.47999999999999</c:v>
                </c:pt>
                <c:pt idx="2">
                  <c:v>144.76</c:v>
                </c:pt>
                <c:pt idx="3">
                  <c:v>132.18</c:v>
                </c:pt>
                <c:pt idx="4">
                  <c:v>119.21</c:v>
                </c:pt>
                <c:pt idx="5">
                  <c:v>106.32</c:v>
                </c:pt>
                <c:pt idx="6">
                  <c:v>93.7</c:v>
                </c:pt>
                <c:pt idx="7">
                  <c:v>81.52</c:v>
                </c:pt>
                <c:pt idx="8">
                  <c:v>70.16</c:v>
                </c:pt>
                <c:pt idx="9">
                  <c:v>60</c:v>
                </c:pt>
                <c:pt idx="10">
                  <c:v>51.94</c:v>
                </c:pt>
                <c:pt idx="11">
                  <c:v>47.03</c:v>
                </c:pt>
                <c:pt idx="12">
                  <c:v>46.26</c:v>
                </c:pt>
                <c:pt idx="13">
                  <c:v>49.91</c:v>
                </c:pt>
                <c:pt idx="14">
                  <c:v>57.02</c:v>
                </c:pt>
                <c:pt idx="15">
                  <c:v>66.52</c:v>
                </c:pt>
                <c:pt idx="16">
                  <c:v>77.540000000000006</c:v>
                </c:pt>
                <c:pt idx="17">
                  <c:v>89.51</c:v>
                </c:pt>
                <c:pt idx="18">
                  <c:v>102.03</c:v>
                </c:pt>
                <c:pt idx="19">
                  <c:v>114.73</c:v>
                </c:pt>
                <c:pt idx="20">
                  <c:v>127.65</c:v>
                </c:pt>
                <c:pt idx="21">
                  <c:v>134.12</c:v>
                </c:pt>
                <c:pt idx="22">
                  <c:v>152.43</c:v>
                </c:pt>
                <c:pt idx="23">
                  <c:v>162.52000000000001</c:v>
                </c:pt>
              </c:numCache>
            </c:numRef>
          </c:yVal>
        </c:ser>
        <c:ser>
          <c:idx val="4"/>
          <c:order val="4"/>
          <c:tx>
            <c:strRef>
              <c:f>Estimator!$AT$129</c:f>
              <c:strCache>
                <c:ptCount val="1"/>
                <c:pt idx="0">
                  <c:v>AZ 35</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Estimator!$AT$130:$AT$153</c:f>
              <c:numCache>
                <c:formatCode>0.00</c:formatCode>
                <c:ptCount val="24"/>
                <c:pt idx="0">
                  <c:v>16.16</c:v>
                </c:pt>
                <c:pt idx="1">
                  <c:v>48.67</c:v>
                </c:pt>
                <c:pt idx="2">
                  <c:v>67.650000000000006</c:v>
                </c:pt>
                <c:pt idx="3">
                  <c:v>79.97</c:v>
                </c:pt>
                <c:pt idx="4">
                  <c:v>89.44</c:v>
                </c:pt>
                <c:pt idx="5">
                  <c:v>97.81</c:v>
                </c:pt>
                <c:pt idx="6">
                  <c:v>106.03</c:v>
                </c:pt>
                <c:pt idx="7">
                  <c:v>114.82</c:v>
                </c:pt>
                <c:pt idx="8">
                  <c:v>124.86</c:v>
                </c:pt>
                <c:pt idx="9">
                  <c:v>136.86000000000001</c:v>
                </c:pt>
                <c:pt idx="10">
                  <c:v>151.44</c:v>
                </c:pt>
                <c:pt idx="11">
                  <c:v>168.62</c:v>
                </c:pt>
                <c:pt idx="12">
                  <c:v>187.13</c:v>
                </c:pt>
                <c:pt idx="13">
                  <c:v>204.77</c:v>
                </c:pt>
                <c:pt idx="14">
                  <c:v>219.97</c:v>
                </c:pt>
                <c:pt idx="15">
                  <c:v>232.5</c:v>
                </c:pt>
                <c:pt idx="16">
                  <c:v>242.9</c:v>
                </c:pt>
                <c:pt idx="17">
                  <c:v>251.89</c:v>
                </c:pt>
                <c:pt idx="18">
                  <c:v>260.16000000000003</c:v>
                </c:pt>
                <c:pt idx="19">
                  <c:v>268.68</c:v>
                </c:pt>
                <c:pt idx="20">
                  <c:v>277.77</c:v>
                </c:pt>
                <c:pt idx="21">
                  <c:v>283.05</c:v>
                </c:pt>
                <c:pt idx="22">
                  <c:v>306.07</c:v>
                </c:pt>
                <c:pt idx="23">
                  <c:v>334.87</c:v>
                </c:pt>
              </c:numCache>
            </c:numRef>
          </c:yVal>
        </c:ser>
        <c:ser>
          <c:idx val="5"/>
          <c:order val="5"/>
          <c:tx>
            <c:strRef>
              <c:f>Estimator!$AU$129</c:f>
              <c:strCache>
                <c:ptCount val="1"/>
                <c:pt idx="0">
                  <c:v>ZEN 35</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Estimator!$AU$130:$AU$153</c:f>
              <c:numCache>
                <c:formatCode>0.00</c:formatCode>
                <c:ptCount val="24"/>
                <c:pt idx="0">
                  <c:v>159.66999999999999</c:v>
                </c:pt>
                <c:pt idx="1">
                  <c:v>152.96</c:v>
                </c:pt>
                <c:pt idx="2">
                  <c:v>142.5</c:v>
                </c:pt>
                <c:pt idx="3">
                  <c:v>130.76</c:v>
                </c:pt>
                <c:pt idx="4">
                  <c:v>118.54</c:v>
                </c:pt>
                <c:pt idx="5">
                  <c:v>106.33</c:v>
                </c:pt>
                <c:pt idx="6">
                  <c:v>94.38</c:v>
                </c:pt>
                <c:pt idx="7">
                  <c:v>82.86</c:v>
                </c:pt>
                <c:pt idx="8">
                  <c:v>72.290000000000006</c:v>
                </c:pt>
                <c:pt idx="9">
                  <c:v>62.99</c:v>
                </c:pt>
                <c:pt idx="10">
                  <c:v>55.8</c:v>
                </c:pt>
                <c:pt idx="11">
                  <c:v>51.61</c:v>
                </c:pt>
                <c:pt idx="12">
                  <c:v>51.17</c:v>
                </c:pt>
                <c:pt idx="13">
                  <c:v>54.52</c:v>
                </c:pt>
                <c:pt idx="14">
                  <c:v>61.16</c:v>
                </c:pt>
                <c:pt idx="15">
                  <c:v>70.040000000000006</c:v>
                </c:pt>
                <c:pt idx="16">
                  <c:v>80.45</c:v>
                </c:pt>
                <c:pt idx="17">
                  <c:v>91.63</c:v>
                </c:pt>
                <c:pt idx="18">
                  <c:v>103.62</c:v>
                </c:pt>
                <c:pt idx="19">
                  <c:v>115.61</c:v>
                </c:pt>
                <c:pt idx="20">
                  <c:v>127.88</c:v>
                </c:pt>
                <c:pt idx="21">
                  <c:v>133.9</c:v>
                </c:pt>
                <c:pt idx="22">
                  <c:v>150.69999999999999</c:v>
                </c:pt>
                <c:pt idx="23">
                  <c:v>158.61000000000001</c:v>
                </c:pt>
              </c:numCache>
            </c:numRef>
          </c:yVal>
        </c:ser>
        <c:ser>
          <c:idx val="6"/>
          <c:order val="6"/>
          <c:tx>
            <c:strRef>
              <c:f>Estimator!$AV$129</c:f>
              <c:strCache>
                <c:ptCount val="1"/>
                <c:pt idx="0">
                  <c:v>AZ 40</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Estimator!$AV$130:$AV$153</c:f>
              <c:numCache>
                <c:formatCode>0.00</c:formatCode>
                <c:ptCount val="24"/>
                <c:pt idx="0">
                  <c:v>8.39</c:v>
                </c:pt>
                <c:pt idx="1">
                  <c:v>38.869999999999997</c:v>
                </c:pt>
                <c:pt idx="2">
                  <c:v>59.81</c:v>
                </c:pt>
                <c:pt idx="3">
                  <c:v>74.25</c:v>
                </c:pt>
                <c:pt idx="4">
                  <c:v>85.4</c:v>
                </c:pt>
                <c:pt idx="5">
                  <c:v>95.06</c:v>
                </c:pt>
                <c:pt idx="6">
                  <c:v>104.3</c:v>
                </c:pt>
                <c:pt idx="7">
                  <c:v>113.87</c:v>
                </c:pt>
                <c:pt idx="8">
                  <c:v>124.4</c:v>
                </c:pt>
                <c:pt idx="9">
                  <c:v>136.5</c:v>
                </c:pt>
                <c:pt idx="10">
                  <c:v>150.66</c:v>
                </c:pt>
                <c:pt idx="11">
                  <c:v>166.86</c:v>
                </c:pt>
                <c:pt idx="12">
                  <c:v>184.22</c:v>
                </c:pt>
                <c:pt idx="13">
                  <c:v>201.18</c:v>
                </c:pt>
                <c:pt idx="14">
                  <c:v>216.42</c:v>
                </c:pt>
                <c:pt idx="15">
                  <c:v>229.53</c:v>
                </c:pt>
                <c:pt idx="16">
                  <c:v>240.78</c:v>
                </c:pt>
                <c:pt idx="17">
                  <c:v>250.74</c:v>
                </c:pt>
                <c:pt idx="18">
                  <c:v>260.02999999999997</c:v>
                </c:pt>
                <c:pt idx="19">
                  <c:v>269.61</c:v>
                </c:pt>
                <c:pt idx="20">
                  <c:v>279.81</c:v>
                </c:pt>
                <c:pt idx="21">
                  <c:v>285.63</c:v>
                </c:pt>
                <c:pt idx="22">
                  <c:v>309.3</c:v>
                </c:pt>
                <c:pt idx="23">
                  <c:v>334.73</c:v>
                </c:pt>
              </c:numCache>
            </c:numRef>
          </c:yVal>
        </c:ser>
        <c:ser>
          <c:idx val="7"/>
          <c:order val="7"/>
          <c:tx>
            <c:strRef>
              <c:f>Estimator!$AW$129</c:f>
              <c:strCache>
                <c:ptCount val="1"/>
                <c:pt idx="0">
                  <c:v>ZEN 40</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Estimator!$AW$130:$AW$153</c:f>
              <c:numCache>
                <c:formatCode>0.00</c:formatCode>
                <c:ptCount val="24"/>
                <c:pt idx="0">
                  <c:v>155.32</c:v>
                </c:pt>
                <c:pt idx="1">
                  <c:v>150.65</c:v>
                </c:pt>
                <c:pt idx="2">
                  <c:v>141.9</c:v>
                </c:pt>
                <c:pt idx="3">
                  <c:v>131.31</c:v>
                </c:pt>
                <c:pt idx="4">
                  <c:v>120.07</c:v>
                </c:pt>
                <c:pt idx="5">
                  <c:v>108.56</c:v>
                </c:pt>
                <c:pt idx="6">
                  <c:v>97.32</c:v>
                </c:pt>
                <c:pt idx="7">
                  <c:v>86.37</c:v>
                </c:pt>
                <c:pt idx="8">
                  <c:v>76.38</c:v>
                </c:pt>
                <c:pt idx="9">
                  <c:v>67.650000000000006</c:v>
                </c:pt>
                <c:pt idx="10">
                  <c:v>60.83</c:v>
                </c:pt>
                <c:pt idx="11">
                  <c:v>56.09</c:v>
                </c:pt>
                <c:pt idx="12">
                  <c:v>55.67</c:v>
                </c:pt>
                <c:pt idx="13">
                  <c:v>58.36</c:v>
                </c:pt>
                <c:pt idx="14">
                  <c:v>63.88</c:v>
                </c:pt>
                <c:pt idx="15">
                  <c:v>71.709999999999994</c:v>
                </c:pt>
                <c:pt idx="16">
                  <c:v>81.17</c:v>
                </c:pt>
                <c:pt idx="17">
                  <c:v>91.63</c:v>
                </c:pt>
                <c:pt idx="18">
                  <c:v>102.77</c:v>
                </c:pt>
                <c:pt idx="19">
                  <c:v>114.08</c:v>
                </c:pt>
                <c:pt idx="20">
                  <c:v>125.52</c:v>
                </c:pt>
                <c:pt idx="21">
                  <c:v>131.08000000000001</c:v>
                </c:pt>
                <c:pt idx="22">
                  <c:v>146.41</c:v>
                </c:pt>
                <c:pt idx="23">
                  <c:v>153.57</c:v>
                </c:pt>
              </c:numCache>
            </c:numRef>
          </c:yVal>
        </c:ser>
        <c:ser>
          <c:idx val="8"/>
          <c:order val="8"/>
          <c:tx>
            <c:strRef>
              <c:f>Estimator!$AX$129</c:f>
              <c:strCache>
                <c:ptCount val="1"/>
                <c:pt idx="0">
                  <c:v>AZ 42</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Estimator!$AX$130:$AX$153</c:f>
              <c:numCache>
                <c:formatCode>0.00</c:formatCode>
                <c:ptCount val="24"/>
                <c:pt idx="0">
                  <c:v>15.97</c:v>
                </c:pt>
                <c:pt idx="1">
                  <c:v>42.36</c:v>
                </c:pt>
                <c:pt idx="2">
                  <c:v>61.36</c:v>
                </c:pt>
                <c:pt idx="3">
                  <c:v>75.349999999999994</c:v>
                </c:pt>
                <c:pt idx="4">
                  <c:v>86.68</c:v>
                </c:pt>
                <c:pt idx="5">
                  <c:v>96.8</c:v>
                </c:pt>
                <c:pt idx="6">
                  <c:v>106.64</c:v>
                </c:pt>
                <c:pt idx="7">
                  <c:v>116.89</c:v>
                </c:pt>
                <c:pt idx="8">
                  <c:v>128.16</c:v>
                </c:pt>
                <c:pt idx="9">
                  <c:v>140.97</c:v>
                </c:pt>
                <c:pt idx="10">
                  <c:v>155.6</c:v>
                </c:pt>
                <c:pt idx="11">
                  <c:v>171.84</c:v>
                </c:pt>
                <c:pt idx="12">
                  <c:v>188.71</c:v>
                </c:pt>
                <c:pt idx="13">
                  <c:v>204.89</c:v>
                </c:pt>
                <c:pt idx="14">
                  <c:v>219.44</c:v>
                </c:pt>
                <c:pt idx="15">
                  <c:v>232.17</c:v>
                </c:pt>
                <c:pt idx="16">
                  <c:v>243.37</c:v>
                </c:pt>
                <c:pt idx="17">
                  <c:v>253.58</c:v>
                </c:pt>
                <c:pt idx="18">
                  <c:v>263.39</c:v>
                </c:pt>
                <c:pt idx="19">
                  <c:v>273.76</c:v>
                </c:pt>
                <c:pt idx="20">
                  <c:v>285.14</c:v>
                </c:pt>
                <c:pt idx="21">
                  <c:v>291.72000000000003</c:v>
                </c:pt>
                <c:pt idx="22">
                  <c:v>318.42</c:v>
                </c:pt>
                <c:pt idx="23">
                  <c:v>345.02</c:v>
                </c:pt>
              </c:numCache>
            </c:numRef>
          </c:yVal>
        </c:ser>
        <c:ser>
          <c:idx val="9"/>
          <c:order val="9"/>
          <c:tx>
            <c:strRef>
              <c:f>Estimator!$AY$129</c:f>
              <c:strCache>
                <c:ptCount val="1"/>
                <c:pt idx="0">
                  <c:v>ZEN 42</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Estimator!$AY$130:$AY$153</c:f>
              <c:numCache>
                <c:formatCode>0.00</c:formatCode>
                <c:ptCount val="24"/>
                <c:pt idx="0">
                  <c:v>151.88</c:v>
                </c:pt>
                <c:pt idx="1">
                  <c:v>146.38999999999999</c:v>
                </c:pt>
                <c:pt idx="2">
                  <c:v>137.76</c:v>
                </c:pt>
                <c:pt idx="3">
                  <c:v>127.62</c:v>
                </c:pt>
                <c:pt idx="4">
                  <c:v>116.75</c:v>
                </c:pt>
                <c:pt idx="5">
                  <c:v>105.78</c:v>
                </c:pt>
                <c:pt idx="6">
                  <c:v>95.03</c:v>
                </c:pt>
                <c:pt idx="7">
                  <c:v>84.83</c:v>
                </c:pt>
                <c:pt idx="8">
                  <c:v>75.59</c:v>
                </c:pt>
                <c:pt idx="9">
                  <c:v>67.760000000000005</c:v>
                </c:pt>
                <c:pt idx="10">
                  <c:v>61.99</c:v>
                </c:pt>
                <c:pt idx="11">
                  <c:v>59.05</c:v>
                </c:pt>
                <c:pt idx="12">
                  <c:v>59.01</c:v>
                </c:pt>
                <c:pt idx="13">
                  <c:v>62.82</c:v>
                </c:pt>
                <c:pt idx="14">
                  <c:v>68.03</c:v>
                </c:pt>
                <c:pt idx="15">
                  <c:v>75.84</c:v>
                </c:pt>
                <c:pt idx="16">
                  <c:v>85.26</c:v>
                </c:pt>
                <c:pt idx="17">
                  <c:v>95.46</c:v>
                </c:pt>
                <c:pt idx="18">
                  <c:v>106.3</c:v>
                </c:pt>
                <c:pt idx="19">
                  <c:v>117.03</c:v>
                </c:pt>
                <c:pt idx="20">
                  <c:v>127.87</c:v>
                </c:pt>
                <c:pt idx="21">
                  <c:v>133.07</c:v>
                </c:pt>
                <c:pt idx="22">
                  <c:v>146.63</c:v>
                </c:pt>
                <c:pt idx="23">
                  <c:v>151.91999999999999</c:v>
                </c:pt>
              </c:numCache>
            </c:numRef>
          </c:yVal>
        </c:ser>
        <c:ser>
          <c:idx val="10"/>
          <c:order val="10"/>
          <c:tx>
            <c:strRef>
              <c:f>Estimator!$AZ$129</c:f>
              <c:strCache>
                <c:ptCount val="1"/>
                <c:pt idx="0">
                  <c:v>AZ 43</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Estimator!$AZ$130:$AZ$153</c:f>
              <c:numCache>
                <c:formatCode>0.00</c:formatCode>
                <c:ptCount val="24"/>
                <c:pt idx="0">
                  <c:v>31.32</c:v>
                </c:pt>
                <c:pt idx="1">
                  <c:v>53.2</c:v>
                </c:pt>
                <c:pt idx="2">
                  <c:v>69.13</c:v>
                </c:pt>
                <c:pt idx="3">
                  <c:v>81.569999999999993</c:v>
                </c:pt>
                <c:pt idx="4">
                  <c:v>92.25</c:v>
                </c:pt>
                <c:pt idx="5">
                  <c:v>102.28</c:v>
                </c:pt>
                <c:pt idx="6">
                  <c:v>112.42</c:v>
                </c:pt>
                <c:pt idx="7">
                  <c:v>123.29</c:v>
                </c:pt>
                <c:pt idx="8">
                  <c:v>135.44999999999999</c:v>
                </c:pt>
                <c:pt idx="9">
                  <c:v>149.29</c:v>
                </c:pt>
                <c:pt idx="10">
                  <c:v>164.85</c:v>
                </c:pt>
                <c:pt idx="11">
                  <c:v>181.48</c:v>
                </c:pt>
                <c:pt idx="12">
                  <c:v>197.98</c:v>
                </c:pt>
                <c:pt idx="13">
                  <c:v>213.25</c:v>
                </c:pt>
                <c:pt idx="14">
                  <c:v>226.76</c:v>
                </c:pt>
                <c:pt idx="15">
                  <c:v>238.63</c:v>
                </c:pt>
                <c:pt idx="16">
                  <c:v>249.31</c:v>
                </c:pt>
                <c:pt idx="17">
                  <c:v>259.36</c:v>
                </c:pt>
                <c:pt idx="18">
                  <c:v>269.41000000000003</c:v>
                </c:pt>
                <c:pt idx="19">
                  <c:v>280.54000000000002</c:v>
                </c:pt>
                <c:pt idx="20">
                  <c:v>293.43</c:v>
                </c:pt>
                <c:pt idx="21">
                  <c:v>301.17</c:v>
                </c:pt>
                <c:pt idx="22">
                  <c:v>333.31</c:v>
                </c:pt>
                <c:pt idx="23">
                  <c:v>2.7</c:v>
                </c:pt>
              </c:numCache>
            </c:numRef>
          </c:yVal>
        </c:ser>
        <c:ser>
          <c:idx val="11"/>
          <c:order val="11"/>
          <c:tx>
            <c:strRef>
              <c:f>Estimator!$BA$129</c:f>
              <c:strCache>
                <c:ptCount val="1"/>
                <c:pt idx="0">
                  <c:v>ZEN 43</c:v>
                </c:pt>
              </c:strCache>
            </c:strRef>
          </c:tx>
          <c:marker>
            <c:symbol val="none"/>
          </c:marker>
          <c:xVal>
            <c:numRef>
              <c:f>Estimator!$AO$130:$AO$153</c:f>
              <c:numCache>
                <c:formatCode>0.00</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Estimator!$BA$130:$BA$153</c:f>
              <c:numCache>
                <c:formatCode>0.00</c:formatCode>
                <c:ptCount val="24"/>
                <c:pt idx="0">
                  <c:v>148.61000000000001</c:v>
                </c:pt>
                <c:pt idx="1">
                  <c:v>141.29</c:v>
                </c:pt>
                <c:pt idx="2">
                  <c:v>131.81</c:v>
                </c:pt>
                <c:pt idx="3">
                  <c:v>121.34</c:v>
                </c:pt>
                <c:pt idx="4">
                  <c:v>109.04</c:v>
                </c:pt>
                <c:pt idx="5">
                  <c:v>99.76</c:v>
                </c:pt>
                <c:pt idx="6">
                  <c:v>89.42</c:v>
                </c:pt>
                <c:pt idx="7">
                  <c:v>79.84</c:v>
                </c:pt>
                <c:pt idx="8">
                  <c:v>73.02</c:v>
                </c:pt>
                <c:pt idx="9">
                  <c:v>65.180000000000007</c:v>
                </c:pt>
                <c:pt idx="10">
                  <c:v>60.61</c:v>
                </c:pt>
                <c:pt idx="11">
                  <c:v>59.34</c:v>
                </c:pt>
                <c:pt idx="12">
                  <c:v>62.54</c:v>
                </c:pt>
                <c:pt idx="13">
                  <c:v>65.989999999999995</c:v>
                </c:pt>
                <c:pt idx="14">
                  <c:v>72.89</c:v>
                </c:pt>
                <c:pt idx="15">
                  <c:v>81.52</c:v>
                </c:pt>
                <c:pt idx="16">
                  <c:v>91.29</c:v>
                </c:pt>
                <c:pt idx="17">
                  <c:v>101.74</c:v>
                </c:pt>
                <c:pt idx="18">
                  <c:v>112.52</c:v>
                </c:pt>
                <c:pt idx="19">
                  <c:v>123.11</c:v>
                </c:pt>
                <c:pt idx="20">
                  <c:v>133.52000000000001</c:v>
                </c:pt>
                <c:pt idx="21">
                  <c:v>138.32</c:v>
                </c:pt>
                <c:pt idx="22">
                  <c:v>149.49</c:v>
                </c:pt>
                <c:pt idx="23">
                  <c:v>151.81</c:v>
                </c:pt>
              </c:numCache>
            </c:numRef>
          </c:yVal>
        </c:ser>
        <c:axId val="130871680"/>
        <c:axId val="130873600"/>
      </c:scatterChart>
      <c:valAx>
        <c:axId val="130871680"/>
        <c:scaling>
          <c:orientation val="minMax"/>
        </c:scaling>
        <c:axPos val="b"/>
        <c:title/>
        <c:numFmt formatCode="0.00" sourceLinked="1"/>
        <c:majorTickMark val="none"/>
        <c:tickLblPos val="nextTo"/>
        <c:crossAx val="130873600"/>
        <c:crosses val="autoZero"/>
        <c:crossBetween val="midCat"/>
      </c:valAx>
      <c:valAx>
        <c:axId val="130873600"/>
        <c:scaling>
          <c:orientation val="minMax"/>
        </c:scaling>
        <c:axPos val="l"/>
        <c:majorGridlines/>
        <c:title/>
        <c:numFmt formatCode="0.00" sourceLinked="1"/>
        <c:majorTickMark val="none"/>
        <c:tickLblPos val="nextTo"/>
        <c:crossAx val="130871680"/>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Winter,</a:t>
            </a:r>
            <a:r>
              <a:rPr lang="en-US" baseline="0"/>
              <a:t> Central</a:t>
            </a:r>
            <a:endParaRPr lang="en-US"/>
          </a:p>
        </c:rich>
      </c:tx>
    </c:title>
    <c:plotArea>
      <c:layout/>
      <c:scatterChart>
        <c:scatterStyle val="lineMarker"/>
        <c:ser>
          <c:idx val="0"/>
          <c:order val="0"/>
          <c:tx>
            <c:strRef>
              <c:f>Estimator!$BC$39</c:f>
              <c:strCache>
                <c:ptCount val="1"/>
                <c:pt idx="0">
                  <c:v>AZ 26</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Estimator!$BC$40:$BC$63</c:f>
              <c:numCache>
                <c:formatCode>0.00</c:formatCode>
                <c:ptCount val="24"/>
                <c:pt idx="0">
                  <c:v>340.8</c:v>
                </c:pt>
                <c:pt idx="1">
                  <c:v>50.36</c:v>
                </c:pt>
                <c:pt idx="2">
                  <c:v>73.94</c:v>
                </c:pt>
                <c:pt idx="3">
                  <c:v>84.42</c:v>
                </c:pt>
                <c:pt idx="4">
                  <c:v>91.47</c:v>
                </c:pt>
                <c:pt idx="5">
                  <c:v>97.45</c:v>
                </c:pt>
                <c:pt idx="6">
                  <c:v>103.31</c:v>
                </c:pt>
                <c:pt idx="7">
                  <c:v>109.66</c:v>
                </c:pt>
                <c:pt idx="8">
                  <c:v>117.11</c:v>
                </c:pt>
                <c:pt idx="9">
                  <c:v>126.43</c:v>
                </c:pt>
                <c:pt idx="10">
                  <c:v>138.68</c:v>
                </c:pt>
                <c:pt idx="11">
                  <c:v>154.93</c:v>
                </c:pt>
                <c:pt idx="12">
                  <c:v>175.04</c:v>
                </c:pt>
                <c:pt idx="13">
                  <c:v>196.13</c:v>
                </c:pt>
                <c:pt idx="14">
                  <c:v>214.36</c:v>
                </c:pt>
                <c:pt idx="15">
                  <c:v>228.38</c:v>
                </c:pt>
                <c:pt idx="16">
                  <c:v>238.94</c:v>
                </c:pt>
                <c:pt idx="17">
                  <c:v>247.17</c:v>
                </c:pt>
                <c:pt idx="18">
                  <c:v>253.71</c:v>
                </c:pt>
                <c:pt idx="19">
                  <c:v>259.74</c:v>
                </c:pt>
                <c:pt idx="20">
                  <c:v>265.58999999999997</c:v>
                </c:pt>
                <c:pt idx="21">
                  <c:v>268.66000000000003</c:v>
                </c:pt>
                <c:pt idx="22">
                  <c:v>280.41000000000003</c:v>
                </c:pt>
                <c:pt idx="23">
                  <c:v>295.58</c:v>
                </c:pt>
              </c:numCache>
            </c:numRef>
          </c:yVal>
        </c:ser>
        <c:ser>
          <c:idx val="1"/>
          <c:order val="1"/>
          <c:tx>
            <c:strRef>
              <c:f>Estimator!$BD$39</c:f>
              <c:strCache>
                <c:ptCount val="1"/>
                <c:pt idx="0">
                  <c:v>ZEN 26</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Estimator!$BD$40:$BD$63</c:f>
              <c:numCache>
                <c:formatCode>0.00</c:formatCode>
                <c:ptCount val="24"/>
                <c:pt idx="0">
                  <c:v>169.83</c:v>
                </c:pt>
                <c:pt idx="1">
                  <c:v>165.52</c:v>
                </c:pt>
                <c:pt idx="2">
                  <c:v>153.51</c:v>
                </c:pt>
                <c:pt idx="3">
                  <c:v>140.24</c:v>
                </c:pt>
                <c:pt idx="4">
                  <c:v>126.75</c:v>
                </c:pt>
                <c:pt idx="5">
                  <c:v>113.37</c:v>
                </c:pt>
                <c:pt idx="6">
                  <c:v>100.08</c:v>
                </c:pt>
                <c:pt idx="7">
                  <c:v>87.16</c:v>
                </c:pt>
                <c:pt idx="8">
                  <c:v>74.81</c:v>
                </c:pt>
                <c:pt idx="9">
                  <c:v>63.34</c:v>
                </c:pt>
                <c:pt idx="10">
                  <c:v>53.32</c:v>
                </c:pt>
                <c:pt idx="11">
                  <c:v>45.88</c:v>
                </c:pt>
                <c:pt idx="12">
                  <c:v>42.35</c:v>
                </c:pt>
                <c:pt idx="13">
                  <c:v>43.68</c:v>
                </c:pt>
                <c:pt idx="14">
                  <c:v>49.46</c:v>
                </c:pt>
                <c:pt idx="15">
                  <c:v>58.39</c:v>
                </c:pt>
                <c:pt idx="16">
                  <c:v>69.260000000000005</c:v>
                </c:pt>
                <c:pt idx="17">
                  <c:v>81.290000000000006</c:v>
                </c:pt>
                <c:pt idx="18">
                  <c:v>94.21</c:v>
                </c:pt>
                <c:pt idx="19">
                  <c:v>107.79</c:v>
                </c:pt>
                <c:pt idx="20">
                  <c:v>120.6</c:v>
                </c:pt>
                <c:pt idx="21">
                  <c:v>127.32</c:v>
                </c:pt>
                <c:pt idx="22">
                  <c:v>147.46</c:v>
                </c:pt>
                <c:pt idx="23">
                  <c:v>160.33000000000001</c:v>
                </c:pt>
              </c:numCache>
            </c:numRef>
          </c:yVal>
        </c:ser>
        <c:ser>
          <c:idx val="2"/>
          <c:order val="2"/>
          <c:tx>
            <c:strRef>
              <c:f>Estimator!$BE$39</c:f>
              <c:strCache>
                <c:ptCount val="1"/>
                <c:pt idx="0">
                  <c:v>AZ 30</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Estimator!$BE$40:$BE$63</c:f>
              <c:numCache>
                <c:formatCode>0.00</c:formatCode>
                <c:ptCount val="24"/>
                <c:pt idx="0">
                  <c:v>15.8</c:v>
                </c:pt>
                <c:pt idx="1">
                  <c:v>56.01</c:v>
                </c:pt>
                <c:pt idx="2">
                  <c:v>73.91</c:v>
                </c:pt>
                <c:pt idx="3">
                  <c:v>84.33</c:v>
                </c:pt>
                <c:pt idx="4">
                  <c:v>92.16</c:v>
                </c:pt>
                <c:pt idx="5">
                  <c:v>99.12</c:v>
                </c:pt>
                <c:pt idx="6">
                  <c:v>106.09</c:v>
                </c:pt>
                <c:pt idx="7">
                  <c:v>113.72</c:v>
                </c:pt>
                <c:pt idx="8">
                  <c:v>122.69</c:v>
                </c:pt>
                <c:pt idx="9">
                  <c:v>133.81</c:v>
                </c:pt>
                <c:pt idx="10">
                  <c:v>147.97999999999999</c:v>
                </c:pt>
                <c:pt idx="11">
                  <c:v>165.55</c:v>
                </c:pt>
                <c:pt idx="12">
                  <c:v>185.26</c:v>
                </c:pt>
                <c:pt idx="13">
                  <c:v>204.14</c:v>
                </c:pt>
                <c:pt idx="14">
                  <c:v>219.97</c:v>
                </c:pt>
                <c:pt idx="15">
                  <c:v>232.45</c:v>
                </c:pt>
                <c:pt idx="16">
                  <c:v>242.35</c:v>
                </c:pt>
                <c:pt idx="17">
                  <c:v>250.55</c:v>
                </c:pt>
                <c:pt idx="18">
                  <c:v>257.52999999999997</c:v>
                </c:pt>
                <c:pt idx="19">
                  <c:v>264.42</c:v>
                </c:pt>
                <c:pt idx="20">
                  <c:v>271.7</c:v>
                </c:pt>
                <c:pt idx="21">
                  <c:v>275.83</c:v>
                </c:pt>
                <c:pt idx="22">
                  <c:v>293.97000000000003</c:v>
                </c:pt>
                <c:pt idx="23">
                  <c:v>321.07</c:v>
                </c:pt>
              </c:numCache>
            </c:numRef>
          </c:yVal>
        </c:ser>
        <c:ser>
          <c:idx val="3"/>
          <c:order val="3"/>
          <c:tx>
            <c:strRef>
              <c:f>Estimator!$BF$39</c:f>
              <c:strCache>
                <c:ptCount val="1"/>
                <c:pt idx="0">
                  <c:v>ZEN 30</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Estimator!$BF$40:$BF$63</c:f>
              <c:numCache>
                <c:formatCode>0.00</c:formatCode>
                <c:ptCount val="24"/>
                <c:pt idx="0">
                  <c:v>165.88</c:v>
                </c:pt>
                <c:pt idx="1">
                  <c:v>157.91</c:v>
                </c:pt>
                <c:pt idx="2">
                  <c:v>146.08000000000001</c:v>
                </c:pt>
                <c:pt idx="3">
                  <c:v>133.41</c:v>
                </c:pt>
                <c:pt idx="4">
                  <c:v>120.28</c:v>
                </c:pt>
                <c:pt idx="5">
                  <c:v>107.46</c:v>
                </c:pt>
                <c:pt idx="6">
                  <c:v>94.75</c:v>
                </c:pt>
                <c:pt idx="7">
                  <c:v>82.62</c:v>
                </c:pt>
                <c:pt idx="8">
                  <c:v>71.099999999999994</c:v>
                </c:pt>
                <c:pt idx="9">
                  <c:v>60.89</c:v>
                </c:pt>
                <c:pt idx="10">
                  <c:v>52.66</c:v>
                </c:pt>
                <c:pt idx="11">
                  <c:v>47.47</c:v>
                </c:pt>
                <c:pt idx="12">
                  <c:v>46.46</c:v>
                </c:pt>
                <c:pt idx="13">
                  <c:v>49.74</c:v>
                </c:pt>
                <c:pt idx="14">
                  <c:v>56.63</c:v>
                </c:pt>
                <c:pt idx="15">
                  <c:v>66.05</c:v>
                </c:pt>
                <c:pt idx="16">
                  <c:v>76.94</c:v>
                </c:pt>
                <c:pt idx="17">
                  <c:v>88.92</c:v>
                </c:pt>
                <c:pt idx="18">
                  <c:v>101.55</c:v>
                </c:pt>
                <c:pt idx="19">
                  <c:v>114.35</c:v>
                </c:pt>
                <c:pt idx="20">
                  <c:v>127.27</c:v>
                </c:pt>
                <c:pt idx="21">
                  <c:v>133.74</c:v>
                </c:pt>
                <c:pt idx="22">
                  <c:v>152.57</c:v>
                </c:pt>
                <c:pt idx="23">
                  <c:v>163.02000000000001</c:v>
                </c:pt>
              </c:numCache>
            </c:numRef>
          </c:yVal>
        </c:ser>
        <c:ser>
          <c:idx val="4"/>
          <c:order val="4"/>
          <c:tx>
            <c:strRef>
              <c:f>Estimator!$BG$39</c:f>
              <c:strCache>
                <c:ptCount val="1"/>
                <c:pt idx="0">
                  <c:v>AZ 36</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Estimator!$BG$40:$BG$63</c:f>
              <c:numCache>
                <c:formatCode>0.00</c:formatCode>
                <c:ptCount val="24"/>
                <c:pt idx="0">
                  <c:v>354.65</c:v>
                </c:pt>
                <c:pt idx="1">
                  <c:v>33.909999999999997</c:v>
                </c:pt>
                <c:pt idx="2">
                  <c:v>58.97</c:v>
                </c:pt>
                <c:pt idx="3">
                  <c:v>74.16</c:v>
                </c:pt>
                <c:pt idx="4">
                  <c:v>84.94</c:v>
                </c:pt>
                <c:pt idx="5">
                  <c:v>93.88</c:v>
                </c:pt>
                <c:pt idx="6">
                  <c:v>102.22</c:v>
                </c:pt>
                <c:pt idx="7">
                  <c:v>110.78</c:v>
                </c:pt>
                <c:pt idx="8">
                  <c:v>120.2</c:v>
                </c:pt>
                <c:pt idx="9">
                  <c:v>131.16</c:v>
                </c:pt>
                <c:pt idx="10">
                  <c:v>144.32</c:v>
                </c:pt>
                <c:pt idx="11">
                  <c:v>160.01</c:v>
                </c:pt>
                <c:pt idx="12">
                  <c:v>177.69</c:v>
                </c:pt>
                <c:pt idx="13">
                  <c:v>195.64</c:v>
                </c:pt>
                <c:pt idx="14">
                  <c:v>211.96</c:v>
                </c:pt>
                <c:pt idx="15">
                  <c:v>225.77</c:v>
                </c:pt>
                <c:pt idx="16">
                  <c:v>237.26</c:v>
                </c:pt>
                <c:pt idx="17">
                  <c:v>247.03</c:v>
                </c:pt>
                <c:pt idx="18">
                  <c:v>255.54</c:v>
                </c:pt>
                <c:pt idx="19">
                  <c:v>263.89</c:v>
                </c:pt>
                <c:pt idx="20">
                  <c:v>272.60000000000002</c:v>
                </c:pt>
                <c:pt idx="21">
                  <c:v>277.39999999999998</c:v>
                </c:pt>
                <c:pt idx="22">
                  <c:v>296.48</c:v>
                </c:pt>
                <c:pt idx="23">
                  <c:v>318.37</c:v>
                </c:pt>
              </c:numCache>
            </c:numRef>
          </c:yVal>
        </c:ser>
        <c:ser>
          <c:idx val="5"/>
          <c:order val="5"/>
          <c:tx>
            <c:strRef>
              <c:f>Estimator!$BH$39</c:f>
              <c:strCache>
                <c:ptCount val="1"/>
                <c:pt idx="0">
                  <c:v>ZEN 36</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Estimator!$BH$40:$BH$63</c:f>
              <c:numCache>
                <c:formatCode>0.00</c:formatCode>
                <c:ptCount val="24"/>
                <c:pt idx="0">
                  <c:v>160.16</c:v>
                </c:pt>
                <c:pt idx="1">
                  <c:v>157.03</c:v>
                </c:pt>
                <c:pt idx="2">
                  <c:v>148.16999999999999</c:v>
                </c:pt>
                <c:pt idx="3">
                  <c:v>137.06</c:v>
                </c:pt>
                <c:pt idx="4">
                  <c:v>125.11</c:v>
                </c:pt>
                <c:pt idx="5">
                  <c:v>113.04</c:v>
                </c:pt>
                <c:pt idx="6">
                  <c:v>101</c:v>
                </c:pt>
                <c:pt idx="7">
                  <c:v>89.42</c:v>
                </c:pt>
                <c:pt idx="8">
                  <c:v>78.47</c:v>
                </c:pt>
                <c:pt idx="9">
                  <c:v>68.58</c:v>
                </c:pt>
                <c:pt idx="10">
                  <c:v>60.44</c:v>
                </c:pt>
                <c:pt idx="11">
                  <c:v>54.75</c:v>
                </c:pt>
                <c:pt idx="12">
                  <c:v>52.38</c:v>
                </c:pt>
                <c:pt idx="13">
                  <c:v>53.87</c:v>
                </c:pt>
                <c:pt idx="14">
                  <c:v>58.67</c:v>
                </c:pt>
                <c:pt idx="15">
                  <c:v>66.319999999999993</c:v>
                </c:pt>
                <c:pt idx="16">
                  <c:v>75.75</c:v>
                </c:pt>
                <c:pt idx="17">
                  <c:v>86.4</c:v>
                </c:pt>
                <c:pt idx="18">
                  <c:v>98.13</c:v>
                </c:pt>
                <c:pt idx="19">
                  <c:v>109.96</c:v>
                </c:pt>
                <c:pt idx="20">
                  <c:v>122.1</c:v>
                </c:pt>
                <c:pt idx="21">
                  <c:v>128.15</c:v>
                </c:pt>
                <c:pt idx="22">
                  <c:v>145.53</c:v>
                </c:pt>
                <c:pt idx="23">
                  <c:v>155.27000000000001</c:v>
                </c:pt>
              </c:numCache>
            </c:numRef>
          </c:yVal>
        </c:ser>
        <c:ser>
          <c:idx val="6"/>
          <c:order val="6"/>
          <c:tx>
            <c:strRef>
              <c:f>Estimator!$BI$39</c:f>
              <c:strCache>
                <c:ptCount val="1"/>
                <c:pt idx="0">
                  <c:v>AZ 41</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Estimator!$BI$40:$BI$63</c:f>
              <c:numCache>
                <c:formatCode>0.00</c:formatCode>
                <c:ptCount val="24"/>
                <c:pt idx="0">
                  <c:v>353.86</c:v>
                </c:pt>
                <c:pt idx="1">
                  <c:v>27.17</c:v>
                </c:pt>
                <c:pt idx="2">
                  <c:v>52.01</c:v>
                </c:pt>
                <c:pt idx="3">
                  <c:v>68.790000000000006</c:v>
                </c:pt>
                <c:pt idx="4">
                  <c:v>81.14</c:v>
                </c:pt>
                <c:pt idx="5">
                  <c:v>91.39</c:v>
                </c:pt>
                <c:pt idx="6">
                  <c:v>100.82</c:v>
                </c:pt>
                <c:pt idx="7">
                  <c:v>110.27</c:v>
                </c:pt>
                <c:pt idx="8">
                  <c:v>120.39</c:v>
                </c:pt>
                <c:pt idx="9">
                  <c:v>131.80000000000001</c:v>
                </c:pt>
                <c:pt idx="10">
                  <c:v>145</c:v>
                </c:pt>
                <c:pt idx="11">
                  <c:v>160.19999999999999</c:v>
                </c:pt>
                <c:pt idx="12">
                  <c:v>176.95</c:v>
                </c:pt>
                <c:pt idx="13">
                  <c:v>193.97</c:v>
                </c:pt>
                <c:pt idx="14">
                  <c:v>209.84</c:v>
                </c:pt>
                <c:pt idx="15">
                  <c:v>223.78</c:v>
                </c:pt>
                <c:pt idx="16">
                  <c:v>235.79</c:v>
                </c:pt>
                <c:pt idx="17">
                  <c:v>246.33</c:v>
                </c:pt>
                <c:pt idx="18">
                  <c:v>255.76</c:v>
                </c:pt>
                <c:pt idx="19">
                  <c:v>265.13</c:v>
                </c:pt>
                <c:pt idx="20">
                  <c:v>274.98</c:v>
                </c:pt>
                <c:pt idx="21">
                  <c:v>280.39999999999998</c:v>
                </c:pt>
                <c:pt idx="22">
                  <c:v>301.27999999999997</c:v>
                </c:pt>
                <c:pt idx="23">
                  <c:v>322.87</c:v>
                </c:pt>
              </c:numCache>
            </c:numRef>
          </c:yVal>
        </c:ser>
        <c:ser>
          <c:idx val="7"/>
          <c:order val="7"/>
          <c:tx>
            <c:strRef>
              <c:f>Estimator!$BJ$39</c:f>
              <c:strCache>
                <c:ptCount val="1"/>
                <c:pt idx="0">
                  <c:v>ZEN 41</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Estimator!$BJ$40:$BJ$63</c:f>
              <c:numCache>
                <c:formatCode>0.00</c:formatCode>
                <c:ptCount val="24"/>
                <c:pt idx="0">
                  <c:v>155.44</c:v>
                </c:pt>
                <c:pt idx="1">
                  <c:v>153.29</c:v>
                </c:pt>
                <c:pt idx="2">
                  <c:v>145.93</c:v>
                </c:pt>
                <c:pt idx="3">
                  <c:v>136.11000000000001</c:v>
                </c:pt>
                <c:pt idx="4">
                  <c:v>125.17</c:v>
                </c:pt>
                <c:pt idx="5">
                  <c:v>113.82</c:v>
                </c:pt>
                <c:pt idx="6">
                  <c:v>102</c:v>
                </c:pt>
                <c:pt idx="7">
                  <c:v>91.6</c:v>
                </c:pt>
                <c:pt idx="8">
                  <c:v>81.34</c:v>
                </c:pt>
                <c:pt idx="9">
                  <c:v>72.16</c:v>
                </c:pt>
                <c:pt idx="10">
                  <c:v>64.59</c:v>
                </c:pt>
                <c:pt idx="11">
                  <c:v>59.28</c:v>
                </c:pt>
                <c:pt idx="12">
                  <c:v>57.06</c:v>
                </c:pt>
                <c:pt idx="13">
                  <c:v>58.17</c:v>
                </c:pt>
                <c:pt idx="14">
                  <c:v>62.37</c:v>
                </c:pt>
                <c:pt idx="15">
                  <c:v>69.2</c:v>
                </c:pt>
                <c:pt idx="16">
                  <c:v>77.849999999999994</c:v>
                </c:pt>
                <c:pt idx="17">
                  <c:v>87.75</c:v>
                </c:pt>
                <c:pt idx="18">
                  <c:v>98.82</c:v>
                </c:pt>
                <c:pt idx="19">
                  <c:v>109.89</c:v>
                </c:pt>
                <c:pt idx="20">
                  <c:v>121.22</c:v>
                </c:pt>
                <c:pt idx="21">
                  <c:v>126.82</c:v>
                </c:pt>
                <c:pt idx="22">
                  <c:v>142.72</c:v>
                </c:pt>
                <c:pt idx="23">
                  <c:v>151.19999999999999</c:v>
                </c:pt>
              </c:numCache>
            </c:numRef>
          </c:yVal>
        </c:ser>
        <c:ser>
          <c:idx val="8"/>
          <c:order val="8"/>
          <c:tx>
            <c:strRef>
              <c:f>Estimator!$BK$39</c:f>
              <c:strCache>
                <c:ptCount val="1"/>
                <c:pt idx="0">
                  <c:v>AZ 45</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Estimator!$BK$40:$BK$63</c:f>
              <c:numCache>
                <c:formatCode>0.00</c:formatCode>
                <c:ptCount val="24"/>
                <c:pt idx="0">
                  <c:v>1.54</c:v>
                </c:pt>
                <c:pt idx="1">
                  <c:v>29.89</c:v>
                </c:pt>
                <c:pt idx="2">
                  <c:v>51.98</c:v>
                </c:pt>
                <c:pt idx="3">
                  <c:v>68.25</c:v>
                </c:pt>
                <c:pt idx="4">
                  <c:v>81</c:v>
                </c:pt>
                <c:pt idx="5">
                  <c:v>91.95</c:v>
                </c:pt>
                <c:pt idx="6">
                  <c:v>102.2</c:v>
                </c:pt>
                <c:pt idx="7">
                  <c:v>112.5</c:v>
                </c:pt>
                <c:pt idx="8">
                  <c:v>123.46</c:v>
                </c:pt>
                <c:pt idx="9">
                  <c:v>135.61000000000001</c:v>
                </c:pt>
                <c:pt idx="10">
                  <c:v>149.30000000000001</c:v>
                </c:pt>
                <c:pt idx="11">
                  <c:v>164.56</c:v>
                </c:pt>
                <c:pt idx="12">
                  <c:v>180.83</c:v>
                </c:pt>
                <c:pt idx="13">
                  <c:v>197.04</c:v>
                </c:pt>
                <c:pt idx="14">
                  <c:v>212.17</c:v>
                </c:pt>
                <c:pt idx="15">
                  <c:v>225.72</c:v>
                </c:pt>
                <c:pt idx="16">
                  <c:v>237.75</c:v>
                </c:pt>
                <c:pt idx="17">
                  <c:v>248.65</c:v>
                </c:pt>
                <c:pt idx="18">
                  <c:v>258.74</c:v>
                </c:pt>
                <c:pt idx="19">
                  <c:v>269.02</c:v>
                </c:pt>
                <c:pt idx="20">
                  <c:v>280.11</c:v>
                </c:pt>
                <c:pt idx="21">
                  <c:v>286.29000000000002</c:v>
                </c:pt>
                <c:pt idx="22">
                  <c:v>309.93</c:v>
                </c:pt>
                <c:pt idx="23">
                  <c:v>332.75</c:v>
                </c:pt>
              </c:numCache>
            </c:numRef>
          </c:yVal>
        </c:ser>
        <c:ser>
          <c:idx val="9"/>
          <c:order val="9"/>
          <c:tx>
            <c:strRef>
              <c:f>Estimator!$BL$39</c:f>
              <c:strCache>
                <c:ptCount val="1"/>
                <c:pt idx="0">
                  <c:v>ZEN 45</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Estimator!$BL$40:$BL$63</c:f>
              <c:numCache>
                <c:formatCode>0.00</c:formatCode>
                <c:ptCount val="24"/>
                <c:pt idx="0">
                  <c:v>151.36000000000001</c:v>
                </c:pt>
                <c:pt idx="1">
                  <c:v>148.44999999999999</c:v>
                </c:pt>
                <c:pt idx="2">
                  <c:v>141.46</c:v>
                </c:pt>
                <c:pt idx="3">
                  <c:v>132.24</c:v>
                </c:pt>
                <c:pt idx="4">
                  <c:v>121.95</c:v>
                </c:pt>
                <c:pt idx="5">
                  <c:v>111.44</c:v>
                </c:pt>
                <c:pt idx="6">
                  <c:v>100.92</c:v>
                </c:pt>
                <c:pt idx="7">
                  <c:v>90.74</c:v>
                </c:pt>
                <c:pt idx="8">
                  <c:v>81.400000000000006</c:v>
                </c:pt>
                <c:pt idx="9">
                  <c:v>73.23</c:v>
                </c:pt>
                <c:pt idx="10">
                  <c:v>66.760000000000005</c:v>
                </c:pt>
                <c:pt idx="11">
                  <c:v>62.53</c:v>
                </c:pt>
                <c:pt idx="12">
                  <c:v>61.22</c:v>
                </c:pt>
                <c:pt idx="13">
                  <c:v>62.82</c:v>
                </c:pt>
                <c:pt idx="14">
                  <c:v>67.260000000000005</c:v>
                </c:pt>
                <c:pt idx="15">
                  <c:v>73.900000000000006</c:v>
                </c:pt>
                <c:pt idx="16">
                  <c:v>82.22</c:v>
                </c:pt>
                <c:pt idx="17">
                  <c:v>91.65</c:v>
                </c:pt>
                <c:pt idx="18">
                  <c:v>102.09</c:v>
                </c:pt>
                <c:pt idx="19">
                  <c:v>112.45</c:v>
                </c:pt>
                <c:pt idx="20">
                  <c:v>123.16</c:v>
                </c:pt>
                <c:pt idx="21">
                  <c:v>128.32</c:v>
                </c:pt>
                <c:pt idx="22">
                  <c:v>142.34</c:v>
                </c:pt>
                <c:pt idx="23">
                  <c:v>149</c:v>
                </c:pt>
              </c:numCache>
            </c:numRef>
          </c:yVal>
        </c:ser>
        <c:ser>
          <c:idx val="10"/>
          <c:order val="10"/>
          <c:tx>
            <c:strRef>
              <c:f>Estimator!$BM$39</c:f>
              <c:strCache>
                <c:ptCount val="1"/>
                <c:pt idx="0">
                  <c:v>AZ 48</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Estimator!$BM$40:$BM$63</c:f>
              <c:numCache>
                <c:formatCode>0.00</c:formatCode>
                <c:ptCount val="24"/>
                <c:pt idx="0">
                  <c:v>351.24</c:v>
                </c:pt>
                <c:pt idx="1">
                  <c:v>18.22</c:v>
                </c:pt>
                <c:pt idx="2">
                  <c:v>41.67</c:v>
                </c:pt>
                <c:pt idx="3">
                  <c:v>59.95</c:v>
                </c:pt>
                <c:pt idx="4">
                  <c:v>74.37</c:v>
                </c:pt>
                <c:pt idx="5">
                  <c:v>86.52</c:v>
                </c:pt>
                <c:pt idx="6">
                  <c:v>97.57</c:v>
                </c:pt>
                <c:pt idx="7">
                  <c:v>108.35</c:v>
                </c:pt>
                <c:pt idx="8">
                  <c:v>119.47</c:v>
                </c:pt>
                <c:pt idx="9">
                  <c:v>131.44999999999999</c:v>
                </c:pt>
                <c:pt idx="10">
                  <c:v>144.66</c:v>
                </c:pt>
                <c:pt idx="11">
                  <c:v>159.22999999999999</c:v>
                </c:pt>
                <c:pt idx="12">
                  <c:v>174.85</c:v>
                </c:pt>
                <c:pt idx="13">
                  <c:v>190.78</c:v>
                </c:pt>
                <c:pt idx="14">
                  <c:v>206.11</c:v>
                </c:pt>
                <c:pt idx="15">
                  <c:v>220.22</c:v>
                </c:pt>
                <c:pt idx="16">
                  <c:v>232.98</c:v>
                </c:pt>
                <c:pt idx="17">
                  <c:v>244.63</c:v>
                </c:pt>
                <c:pt idx="18">
                  <c:v>255.4</c:v>
                </c:pt>
                <c:pt idx="19">
                  <c:v>266.20999999999998</c:v>
                </c:pt>
                <c:pt idx="20">
                  <c:v>277.56</c:v>
                </c:pt>
                <c:pt idx="21">
                  <c:v>283.70999999999998</c:v>
                </c:pt>
                <c:pt idx="22">
                  <c:v>305.99</c:v>
                </c:pt>
                <c:pt idx="23">
                  <c:v>326.07</c:v>
                </c:pt>
              </c:numCache>
            </c:numRef>
          </c:yVal>
        </c:ser>
        <c:ser>
          <c:idx val="11"/>
          <c:order val="11"/>
          <c:tx>
            <c:strRef>
              <c:f>Estimator!$BN$39</c:f>
              <c:strCache>
                <c:ptCount val="1"/>
                <c:pt idx="0">
                  <c:v>ZEN 48</c:v>
                </c:pt>
              </c:strCache>
            </c:strRef>
          </c:tx>
          <c:marker>
            <c:symbol val="none"/>
          </c:marker>
          <c:xVal>
            <c:numRef>
              <c:f>Estimator!$BB$40:$BB$63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Estimator!$BN$40:$BN$63</c:f>
              <c:numCache>
                <c:formatCode>0.00</c:formatCode>
                <c:ptCount val="24"/>
                <c:pt idx="0">
                  <c:v>148.01</c:v>
                </c:pt>
                <c:pt idx="1">
                  <c:v>147.19</c:v>
                </c:pt>
                <c:pt idx="2">
                  <c:v>142.12</c:v>
                </c:pt>
                <c:pt idx="3">
                  <c:v>134.34</c:v>
                </c:pt>
                <c:pt idx="4">
                  <c:v>125.11</c:v>
                </c:pt>
                <c:pt idx="5">
                  <c:v>115.23</c:v>
                </c:pt>
                <c:pt idx="6">
                  <c:v>105.24</c:v>
                </c:pt>
                <c:pt idx="7">
                  <c:v>95.91</c:v>
                </c:pt>
                <c:pt idx="8">
                  <c:v>86.32</c:v>
                </c:pt>
                <c:pt idx="9">
                  <c:v>78.209999999999994</c:v>
                </c:pt>
                <c:pt idx="10">
                  <c:v>71.349999999999994</c:v>
                </c:pt>
                <c:pt idx="11">
                  <c:v>66.78</c:v>
                </c:pt>
                <c:pt idx="12">
                  <c:v>64.48</c:v>
                </c:pt>
                <c:pt idx="13">
                  <c:v>60.18</c:v>
                </c:pt>
                <c:pt idx="14">
                  <c:v>68.069999999999993</c:v>
                </c:pt>
                <c:pt idx="15">
                  <c:v>73.540000000000006</c:v>
                </c:pt>
                <c:pt idx="16">
                  <c:v>80.790000000000006</c:v>
                </c:pt>
                <c:pt idx="17">
                  <c:v>89.43</c:v>
                </c:pt>
                <c:pt idx="18">
                  <c:v>99.02</c:v>
                </c:pt>
                <c:pt idx="19">
                  <c:v>108.92</c:v>
                </c:pt>
                <c:pt idx="20">
                  <c:v>118.87</c:v>
                </c:pt>
                <c:pt idx="21">
                  <c:v>123.77</c:v>
                </c:pt>
                <c:pt idx="22">
                  <c:v>137.38</c:v>
                </c:pt>
                <c:pt idx="23">
                  <c:v>144.66999999999999</c:v>
                </c:pt>
              </c:numCache>
            </c:numRef>
          </c:yVal>
        </c:ser>
        <c:axId val="164899840"/>
        <c:axId val="164922496"/>
      </c:scatterChart>
      <c:valAx>
        <c:axId val="164899840"/>
        <c:scaling>
          <c:orientation val="minMax"/>
        </c:scaling>
        <c:axPos val="b"/>
        <c:title/>
        <c:numFmt formatCode="General" sourceLinked="1"/>
        <c:majorTickMark val="none"/>
        <c:tickLblPos val="nextTo"/>
        <c:crossAx val="164922496"/>
        <c:crosses val="autoZero"/>
        <c:crossBetween val="midCat"/>
      </c:valAx>
      <c:valAx>
        <c:axId val="164922496"/>
        <c:scaling>
          <c:orientation val="minMax"/>
        </c:scaling>
        <c:axPos val="l"/>
        <c:majorGridlines/>
        <c:title/>
        <c:numFmt formatCode="0.00" sourceLinked="1"/>
        <c:majorTickMark val="none"/>
        <c:tickLblPos val="nextTo"/>
        <c:crossAx val="164899840"/>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Spring,</a:t>
            </a:r>
            <a:r>
              <a:rPr lang="en-US" baseline="0"/>
              <a:t> Central</a:t>
            </a:r>
            <a:endParaRPr lang="en-US"/>
          </a:p>
        </c:rich>
      </c:tx>
    </c:title>
    <c:plotArea>
      <c:layout/>
      <c:scatterChart>
        <c:scatterStyle val="lineMarker"/>
        <c:ser>
          <c:idx val="0"/>
          <c:order val="0"/>
          <c:tx>
            <c:strRef>
              <c:f>Estimator!$BC$69</c:f>
              <c:strCache>
                <c:ptCount val="1"/>
                <c:pt idx="0">
                  <c:v>AZ 26</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Estimator!$BC$70:$BC$93</c:f>
              <c:numCache>
                <c:formatCode>0.00</c:formatCode>
                <c:ptCount val="24"/>
                <c:pt idx="0">
                  <c:v>1.19</c:v>
                </c:pt>
                <c:pt idx="1">
                  <c:v>21.55</c:v>
                </c:pt>
                <c:pt idx="2">
                  <c:v>38.43</c:v>
                </c:pt>
                <c:pt idx="3">
                  <c:v>51.27</c:v>
                </c:pt>
                <c:pt idx="4">
                  <c:v>61.02</c:v>
                </c:pt>
                <c:pt idx="5">
                  <c:v>68.72</c:v>
                </c:pt>
                <c:pt idx="6">
                  <c:v>75.2</c:v>
                </c:pt>
                <c:pt idx="7">
                  <c:v>81.069999999999993</c:v>
                </c:pt>
                <c:pt idx="8">
                  <c:v>86.92</c:v>
                </c:pt>
                <c:pt idx="9">
                  <c:v>93.56</c:v>
                </c:pt>
                <c:pt idx="10">
                  <c:v>102.88</c:v>
                </c:pt>
                <c:pt idx="11">
                  <c:v>122.11</c:v>
                </c:pt>
                <c:pt idx="12">
                  <c:v>185.09</c:v>
                </c:pt>
                <c:pt idx="13">
                  <c:v>241.28</c:v>
                </c:pt>
                <c:pt idx="14">
                  <c:v>258.52</c:v>
                </c:pt>
                <c:pt idx="15">
                  <c:v>267.37</c:v>
                </c:pt>
                <c:pt idx="16">
                  <c:v>273.87</c:v>
                </c:pt>
                <c:pt idx="17">
                  <c:v>279.69</c:v>
                </c:pt>
                <c:pt idx="18">
                  <c:v>285.36</c:v>
                </c:pt>
                <c:pt idx="19">
                  <c:v>291.97000000000003</c:v>
                </c:pt>
                <c:pt idx="20">
                  <c:v>299.88</c:v>
                </c:pt>
                <c:pt idx="21">
                  <c:v>304.57</c:v>
                </c:pt>
                <c:pt idx="22">
                  <c:v>323.22000000000003</c:v>
                </c:pt>
                <c:pt idx="23">
                  <c:v>340.59</c:v>
                </c:pt>
              </c:numCache>
            </c:numRef>
          </c:yVal>
        </c:ser>
        <c:ser>
          <c:idx val="1"/>
          <c:order val="1"/>
          <c:tx>
            <c:strRef>
              <c:f>Estimator!$BD$69</c:f>
              <c:strCache>
                <c:ptCount val="1"/>
                <c:pt idx="0">
                  <c:v>ZEN 26</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Estimator!$BD$70:$BD$93</c:f>
              <c:numCache>
                <c:formatCode>0.00</c:formatCode>
                <c:ptCount val="24"/>
                <c:pt idx="0">
                  <c:v>137.32</c:v>
                </c:pt>
                <c:pt idx="1">
                  <c:v>134.62</c:v>
                </c:pt>
                <c:pt idx="2">
                  <c:v>127.82</c:v>
                </c:pt>
                <c:pt idx="3">
                  <c:v>118.26</c:v>
                </c:pt>
                <c:pt idx="4">
                  <c:v>107.04</c:v>
                </c:pt>
                <c:pt idx="5">
                  <c:v>94.78</c:v>
                </c:pt>
                <c:pt idx="6">
                  <c:v>81.93</c:v>
                </c:pt>
                <c:pt idx="7">
                  <c:v>68.819999999999993</c:v>
                </c:pt>
                <c:pt idx="8">
                  <c:v>55.41</c:v>
                </c:pt>
                <c:pt idx="9">
                  <c:v>41.92</c:v>
                </c:pt>
                <c:pt idx="10">
                  <c:v>28.74</c:v>
                </c:pt>
                <c:pt idx="11">
                  <c:v>16.03</c:v>
                </c:pt>
                <c:pt idx="12">
                  <c:v>9.2200000000000006</c:v>
                </c:pt>
                <c:pt idx="13">
                  <c:v>17.34</c:v>
                </c:pt>
                <c:pt idx="14">
                  <c:v>30.03</c:v>
                </c:pt>
                <c:pt idx="15">
                  <c:v>44.04</c:v>
                </c:pt>
                <c:pt idx="16">
                  <c:v>56.9</c:v>
                </c:pt>
                <c:pt idx="17">
                  <c:v>70.260000000000005</c:v>
                </c:pt>
                <c:pt idx="18">
                  <c:v>83.51</c:v>
                </c:pt>
                <c:pt idx="19">
                  <c:v>96.35</c:v>
                </c:pt>
                <c:pt idx="20">
                  <c:v>108.47</c:v>
                </c:pt>
                <c:pt idx="21">
                  <c:v>114.1</c:v>
                </c:pt>
                <c:pt idx="22">
                  <c:v>128.76</c:v>
                </c:pt>
                <c:pt idx="23">
                  <c:v>135.16999999999999</c:v>
                </c:pt>
              </c:numCache>
            </c:numRef>
          </c:yVal>
        </c:ser>
        <c:ser>
          <c:idx val="2"/>
          <c:order val="2"/>
          <c:tx>
            <c:strRef>
              <c:f>Estimator!$BE$69</c:f>
              <c:strCache>
                <c:ptCount val="1"/>
                <c:pt idx="0">
                  <c:v>AZ 30</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Estimator!$BE$70:$BE$93</c:f>
              <c:numCache>
                <c:formatCode>0.00</c:formatCode>
                <c:ptCount val="24"/>
                <c:pt idx="0">
                  <c:v>10.8</c:v>
                </c:pt>
                <c:pt idx="1">
                  <c:v>28.78</c:v>
                </c:pt>
                <c:pt idx="2">
                  <c:v>43.5</c:v>
                </c:pt>
                <c:pt idx="3">
                  <c:v>55.1</c:v>
                </c:pt>
                <c:pt idx="4">
                  <c:v>64.38</c:v>
                </c:pt>
                <c:pt idx="5">
                  <c:v>72.19</c:v>
                </c:pt>
                <c:pt idx="6">
                  <c:v>79.209999999999994</c:v>
                </c:pt>
                <c:pt idx="7">
                  <c:v>86.08</c:v>
                </c:pt>
                <c:pt idx="8">
                  <c:v>93.58</c:v>
                </c:pt>
                <c:pt idx="9">
                  <c:v>103.18</c:v>
                </c:pt>
                <c:pt idx="10">
                  <c:v>118.82</c:v>
                </c:pt>
                <c:pt idx="11">
                  <c:v>153.59</c:v>
                </c:pt>
                <c:pt idx="12">
                  <c:v>211.69</c:v>
                </c:pt>
                <c:pt idx="13">
                  <c:v>243.43</c:v>
                </c:pt>
                <c:pt idx="14">
                  <c:v>258.08999999999997</c:v>
                </c:pt>
                <c:pt idx="15">
                  <c:v>267.37</c:v>
                </c:pt>
                <c:pt idx="16">
                  <c:v>274.76</c:v>
                </c:pt>
                <c:pt idx="17">
                  <c:v>281.62</c:v>
                </c:pt>
                <c:pt idx="18">
                  <c:v>288.45999999999998</c:v>
                </c:pt>
                <c:pt idx="19">
                  <c:v>296.41000000000003</c:v>
                </c:pt>
                <c:pt idx="20">
                  <c:v>305.92</c:v>
                </c:pt>
                <c:pt idx="21">
                  <c:v>311.52</c:v>
                </c:pt>
                <c:pt idx="22">
                  <c:v>332.92</c:v>
                </c:pt>
                <c:pt idx="23">
                  <c:v>351.2</c:v>
                </c:pt>
              </c:numCache>
            </c:numRef>
          </c:yVal>
        </c:ser>
        <c:ser>
          <c:idx val="3"/>
          <c:order val="3"/>
          <c:tx>
            <c:strRef>
              <c:f>Estimator!$BF$69</c:f>
              <c:strCache>
                <c:ptCount val="1"/>
                <c:pt idx="0">
                  <c:v>ZEN 30</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Estimator!$BF$70:$BF$93</c:f>
              <c:numCache>
                <c:formatCode>0.00</c:formatCode>
                <c:ptCount val="24"/>
                <c:pt idx="0">
                  <c:v>132.63999999999999</c:v>
                </c:pt>
                <c:pt idx="1">
                  <c:v>128.15</c:v>
                </c:pt>
                <c:pt idx="2">
                  <c:v>120.51</c:v>
                </c:pt>
                <c:pt idx="3">
                  <c:v>110.58</c:v>
                </c:pt>
                <c:pt idx="4">
                  <c:v>99.21</c:v>
                </c:pt>
                <c:pt idx="5">
                  <c:v>87.29</c:v>
                </c:pt>
                <c:pt idx="6">
                  <c:v>74.03</c:v>
                </c:pt>
                <c:pt idx="7">
                  <c:v>61.83</c:v>
                </c:pt>
                <c:pt idx="8">
                  <c:v>48.85</c:v>
                </c:pt>
                <c:pt idx="9">
                  <c:v>36.07</c:v>
                </c:pt>
                <c:pt idx="10">
                  <c:v>23.82</c:v>
                </c:pt>
                <c:pt idx="11">
                  <c:v>14.63</c:v>
                </c:pt>
                <c:pt idx="12">
                  <c:v>15.14</c:v>
                </c:pt>
                <c:pt idx="13">
                  <c:v>25.03</c:v>
                </c:pt>
                <c:pt idx="14">
                  <c:v>37.29</c:v>
                </c:pt>
                <c:pt idx="15">
                  <c:v>50.18</c:v>
                </c:pt>
                <c:pt idx="16">
                  <c:v>63.15</c:v>
                </c:pt>
                <c:pt idx="17">
                  <c:v>75.98</c:v>
                </c:pt>
                <c:pt idx="18">
                  <c:v>88.66</c:v>
                </c:pt>
                <c:pt idx="19">
                  <c:v>100.77</c:v>
                </c:pt>
                <c:pt idx="20">
                  <c:v>112.97</c:v>
                </c:pt>
                <c:pt idx="21">
                  <c:v>116.8</c:v>
                </c:pt>
                <c:pt idx="22">
                  <c:v>128.81</c:v>
                </c:pt>
                <c:pt idx="23">
                  <c:v>132.85</c:v>
                </c:pt>
              </c:numCache>
            </c:numRef>
          </c:yVal>
        </c:ser>
        <c:ser>
          <c:idx val="4"/>
          <c:order val="4"/>
          <c:tx>
            <c:strRef>
              <c:f>Estimator!$BG$69</c:f>
              <c:strCache>
                <c:ptCount val="1"/>
                <c:pt idx="0">
                  <c:v>AZ 36</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Estimator!$BG$70:$BG$93</c:f>
              <c:numCache>
                <c:formatCode>0.00</c:formatCode>
                <c:ptCount val="24"/>
                <c:pt idx="0">
                  <c:v>2.9</c:v>
                </c:pt>
                <c:pt idx="1">
                  <c:v>20.399999999999999</c:v>
                </c:pt>
                <c:pt idx="2">
                  <c:v>35.909999999999997</c:v>
                </c:pt>
                <c:pt idx="3">
                  <c:v>48.93</c:v>
                </c:pt>
                <c:pt idx="4">
                  <c:v>59.8</c:v>
                </c:pt>
                <c:pt idx="5">
                  <c:v>69.16</c:v>
                </c:pt>
                <c:pt idx="6">
                  <c:v>77.680000000000007</c:v>
                </c:pt>
                <c:pt idx="7">
                  <c:v>86</c:v>
                </c:pt>
                <c:pt idx="8">
                  <c:v>94.92</c:v>
                </c:pt>
                <c:pt idx="9">
                  <c:v>105.73</c:v>
                </c:pt>
                <c:pt idx="10">
                  <c:v>121.06</c:v>
                </c:pt>
                <c:pt idx="11">
                  <c:v>146.69999999999999</c:v>
                </c:pt>
                <c:pt idx="12">
                  <c:v>186.98</c:v>
                </c:pt>
                <c:pt idx="13">
                  <c:v>223.25</c:v>
                </c:pt>
                <c:pt idx="14">
                  <c:v>244.71</c:v>
                </c:pt>
                <c:pt idx="15">
                  <c:v>258.17</c:v>
                </c:pt>
                <c:pt idx="16">
                  <c:v>268.18</c:v>
                </c:pt>
                <c:pt idx="17">
                  <c:v>276.81</c:v>
                </c:pt>
                <c:pt idx="18">
                  <c:v>284.89999999999998</c:v>
                </c:pt>
                <c:pt idx="19">
                  <c:v>293.64</c:v>
                </c:pt>
                <c:pt idx="20">
                  <c:v>303.44</c:v>
                </c:pt>
                <c:pt idx="21">
                  <c:v>308.94</c:v>
                </c:pt>
                <c:pt idx="22">
                  <c:v>328.79</c:v>
                </c:pt>
                <c:pt idx="23">
                  <c:v>345.07</c:v>
                </c:pt>
              </c:numCache>
            </c:numRef>
          </c:yVal>
        </c:ser>
        <c:ser>
          <c:idx val="5"/>
          <c:order val="5"/>
          <c:tx>
            <c:strRef>
              <c:f>Estimator!$BH$69</c:f>
              <c:strCache>
                <c:ptCount val="1"/>
                <c:pt idx="0">
                  <c:v>ZEN 36</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Estimator!$BH$70:$BH$93</c:f>
              <c:numCache>
                <c:formatCode>0.00</c:formatCode>
                <c:ptCount val="24"/>
                <c:pt idx="0">
                  <c:v>127.22</c:v>
                </c:pt>
                <c:pt idx="1">
                  <c:v>124.66</c:v>
                </c:pt>
                <c:pt idx="2">
                  <c:v>118.93</c:v>
                </c:pt>
                <c:pt idx="3">
                  <c:v>110.68</c:v>
                </c:pt>
                <c:pt idx="4">
                  <c:v>100.85</c:v>
                </c:pt>
                <c:pt idx="5">
                  <c:v>89.93</c:v>
                </c:pt>
                <c:pt idx="6">
                  <c:v>78.3</c:v>
                </c:pt>
                <c:pt idx="7">
                  <c:v>66.319999999999993</c:v>
                </c:pt>
                <c:pt idx="8">
                  <c:v>54.2</c:v>
                </c:pt>
                <c:pt idx="9">
                  <c:v>42.3</c:v>
                </c:pt>
                <c:pt idx="10">
                  <c:v>31.04</c:v>
                </c:pt>
                <c:pt idx="11">
                  <c:v>22.39</c:v>
                </c:pt>
                <c:pt idx="12">
                  <c:v>19.43</c:v>
                </c:pt>
                <c:pt idx="13">
                  <c:v>24.69</c:v>
                </c:pt>
                <c:pt idx="14">
                  <c:v>34.61</c:v>
                </c:pt>
                <c:pt idx="15">
                  <c:v>46.04</c:v>
                </c:pt>
                <c:pt idx="16">
                  <c:v>58.07</c:v>
                </c:pt>
                <c:pt idx="17">
                  <c:v>70.150000000000006</c:v>
                </c:pt>
                <c:pt idx="18">
                  <c:v>82.15</c:v>
                </c:pt>
                <c:pt idx="19">
                  <c:v>93.75</c:v>
                </c:pt>
                <c:pt idx="20">
                  <c:v>104.25</c:v>
                </c:pt>
                <c:pt idx="21">
                  <c:v>109.15</c:v>
                </c:pt>
                <c:pt idx="22">
                  <c:v>121.11</c:v>
                </c:pt>
                <c:pt idx="23">
                  <c:v>125.88</c:v>
                </c:pt>
              </c:numCache>
            </c:numRef>
          </c:yVal>
        </c:ser>
        <c:ser>
          <c:idx val="6"/>
          <c:order val="6"/>
          <c:tx>
            <c:strRef>
              <c:f>Estimator!$BI$69</c:f>
              <c:strCache>
                <c:ptCount val="1"/>
                <c:pt idx="0">
                  <c:v>AZ 41</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Estimator!$BI$70:$BI$93</c:f>
              <c:numCache>
                <c:formatCode>0.00</c:formatCode>
                <c:ptCount val="24"/>
                <c:pt idx="0">
                  <c:v>1.87</c:v>
                </c:pt>
                <c:pt idx="1">
                  <c:v>18.559999999999999</c:v>
                </c:pt>
                <c:pt idx="2">
                  <c:v>33.81</c:v>
                </c:pt>
                <c:pt idx="3">
                  <c:v>47.09</c:v>
                </c:pt>
                <c:pt idx="4">
                  <c:v>58.57</c:v>
                </c:pt>
                <c:pt idx="5">
                  <c:v>68.739999999999995</c:v>
                </c:pt>
                <c:pt idx="6">
                  <c:v>78.19</c:v>
                </c:pt>
                <c:pt idx="7">
                  <c:v>87.57</c:v>
                </c:pt>
                <c:pt idx="8">
                  <c:v>97.69</c:v>
                </c:pt>
                <c:pt idx="9">
                  <c:v>109.8</c:v>
                </c:pt>
                <c:pt idx="10">
                  <c:v>126.15</c:v>
                </c:pt>
                <c:pt idx="11">
                  <c:v>150.47</c:v>
                </c:pt>
                <c:pt idx="12">
                  <c:v>183.9</c:v>
                </c:pt>
                <c:pt idx="13">
                  <c:v>215.82</c:v>
                </c:pt>
                <c:pt idx="14">
                  <c:v>238.06</c:v>
                </c:pt>
                <c:pt idx="15">
                  <c:v>253.22</c:v>
                </c:pt>
                <c:pt idx="16">
                  <c:v>264.75</c:v>
                </c:pt>
                <c:pt idx="17">
                  <c:v>274.63</c:v>
                </c:pt>
                <c:pt idx="18">
                  <c:v>283.75</c:v>
                </c:pt>
                <c:pt idx="19">
                  <c:v>293.33</c:v>
                </c:pt>
                <c:pt idx="20">
                  <c:v>303.77</c:v>
                </c:pt>
                <c:pt idx="21">
                  <c:v>309.48</c:v>
                </c:pt>
                <c:pt idx="22">
                  <c:v>329.36</c:v>
                </c:pt>
                <c:pt idx="23">
                  <c:v>345.02</c:v>
                </c:pt>
              </c:numCache>
            </c:numRef>
          </c:yVal>
        </c:ser>
        <c:ser>
          <c:idx val="7"/>
          <c:order val="7"/>
          <c:tx>
            <c:strRef>
              <c:f>Estimator!$BJ$69</c:f>
              <c:strCache>
                <c:ptCount val="1"/>
                <c:pt idx="0">
                  <c:v>ZEN 41</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Estimator!$BJ$70:$BJ$93</c:f>
              <c:numCache>
                <c:formatCode>0.00</c:formatCode>
                <c:ptCount val="24"/>
                <c:pt idx="0">
                  <c:v>122.5</c:v>
                </c:pt>
                <c:pt idx="1">
                  <c:v>120.44</c:v>
                </c:pt>
                <c:pt idx="2">
                  <c:v>115.4</c:v>
                </c:pt>
                <c:pt idx="3">
                  <c:v>108.04</c:v>
                </c:pt>
                <c:pt idx="4">
                  <c:v>98.99</c:v>
                </c:pt>
                <c:pt idx="5">
                  <c:v>88.81</c:v>
                </c:pt>
                <c:pt idx="6">
                  <c:v>77.91</c:v>
                </c:pt>
                <c:pt idx="7">
                  <c:v>66.650000000000006</c:v>
                </c:pt>
                <c:pt idx="8">
                  <c:v>55.29</c:v>
                </c:pt>
                <c:pt idx="9">
                  <c:v>44.28</c:v>
                </c:pt>
                <c:pt idx="10">
                  <c:v>34.270000000000003</c:v>
                </c:pt>
                <c:pt idx="11">
                  <c:v>26.63</c:v>
                </c:pt>
                <c:pt idx="12">
                  <c:v>24.04</c:v>
                </c:pt>
                <c:pt idx="13">
                  <c:v>27.94</c:v>
                </c:pt>
                <c:pt idx="14">
                  <c:v>36.299999999999997</c:v>
                </c:pt>
                <c:pt idx="15">
                  <c:v>46.65</c:v>
                </c:pt>
                <c:pt idx="16">
                  <c:v>57.84</c:v>
                </c:pt>
                <c:pt idx="17">
                  <c:v>69.09</c:v>
                </c:pt>
                <c:pt idx="18">
                  <c:v>80.400000000000006</c:v>
                </c:pt>
                <c:pt idx="19">
                  <c:v>91.17</c:v>
                </c:pt>
                <c:pt idx="20">
                  <c:v>101.15</c:v>
                </c:pt>
                <c:pt idx="21">
                  <c:v>105.78</c:v>
                </c:pt>
                <c:pt idx="22">
                  <c:v>116.81</c:v>
                </c:pt>
                <c:pt idx="23">
                  <c:v>121.32</c:v>
                </c:pt>
              </c:numCache>
            </c:numRef>
          </c:yVal>
        </c:ser>
        <c:ser>
          <c:idx val="8"/>
          <c:order val="8"/>
          <c:tx>
            <c:strRef>
              <c:f>Estimator!$BK$69</c:f>
              <c:strCache>
                <c:ptCount val="1"/>
                <c:pt idx="0">
                  <c:v>AZ 45</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Estimator!$BK$70:$BK$93</c:f>
              <c:numCache>
                <c:formatCode>0.00</c:formatCode>
                <c:ptCount val="24"/>
                <c:pt idx="0">
                  <c:v>5.51</c:v>
                </c:pt>
                <c:pt idx="1">
                  <c:v>21.39</c:v>
                </c:pt>
                <c:pt idx="2">
                  <c:v>36</c:v>
                </c:pt>
                <c:pt idx="3">
                  <c:v>49.02</c:v>
                </c:pt>
                <c:pt idx="4">
                  <c:v>60.62</c:v>
                </c:pt>
                <c:pt idx="5">
                  <c:v>71.239999999999995</c:v>
                </c:pt>
                <c:pt idx="6">
                  <c:v>81.41</c:v>
                </c:pt>
                <c:pt idx="7">
                  <c:v>91.8</c:v>
                </c:pt>
                <c:pt idx="8">
                  <c:v>103.27</c:v>
                </c:pt>
                <c:pt idx="9">
                  <c:v>117.12</c:v>
                </c:pt>
                <c:pt idx="10">
                  <c:v>135.41</c:v>
                </c:pt>
                <c:pt idx="11">
                  <c:v>160.35</c:v>
                </c:pt>
                <c:pt idx="12">
                  <c:v>190.24</c:v>
                </c:pt>
                <c:pt idx="13">
                  <c:v>217.35</c:v>
                </c:pt>
                <c:pt idx="14">
                  <c:v>237.64</c:v>
                </c:pt>
                <c:pt idx="15">
                  <c:v>252.68</c:v>
                </c:pt>
                <c:pt idx="16">
                  <c:v>264.75</c:v>
                </c:pt>
                <c:pt idx="17">
                  <c:v>275.39</c:v>
                </c:pt>
                <c:pt idx="18">
                  <c:v>285.35000000000002</c:v>
                </c:pt>
                <c:pt idx="19">
                  <c:v>295.79000000000002</c:v>
                </c:pt>
                <c:pt idx="20">
                  <c:v>307.02999999999997</c:v>
                </c:pt>
                <c:pt idx="21">
                  <c:v>313.12</c:v>
                </c:pt>
                <c:pt idx="22">
                  <c:v>333.7</c:v>
                </c:pt>
                <c:pt idx="23">
                  <c:v>349.25</c:v>
                </c:pt>
              </c:numCache>
            </c:numRef>
          </c:yVal>
        </c:ser>
        <c:ser>
          <c:idx val="9"/>
          <c:order val="9"/>
          <c:tx>
            <c:strRef>
              <c:f>Estimator!$BL$69</c:f>
              <c:strCache>
                <c:ptCount val="1"/>
                <c:pt idx="0">
                  <c:v>ZEN 45</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Estimator!$BL$70:$BL$93</c:f>
              <c:numCache>
                <c:formatCode>0.00</c:formatCode>
                <c:ptCount val="24"/>
                <c:pt idx="0">
                  <c:v>118.14</c:v>
                </c:pt>
                <c:pt idx="1">
                  <c:v>115.68</c:v>
                </c:pt>
                <c:pt idx="2">
                  <c:v>110.58</c:v>
                </c:pt>
                <c:pt idx="3">
                  <c:v>103.36</c:v>
                </c:pt>
                <c:pt idx="4">
                  <c:v>94.68</c:v>
                </c:pt>
                <c:pt idx="5">
                  <c:v>85.02</c:v>
                </c:pt>
                <c:pt idx="6">
                  <c:v>73.62</c:v>
                </c:pt>
                <c:pt idx="7">
                  <c:v>64.180000000000007</c:v>
                </c:pt>
                <c:pt idx="8">
                  <c:v>53.58</c:v>
                </c:pt>
                <c:pt idx="9">
                  <c:v>43.7</c:v>
                </c:pt>
                <c:pt idx="10">
                  <c:v>35.11</c:v>
                </c:pt>
                <c:pt idx="11">
                  <c:v>29.38</c:v>
                </c:pt>
                <c:pt idx="12">
                  <c:v>28.51</c:v>
                </c:pt>
                <c:pt idx="13">
                  <c:v>32.79</c:v>
                </c:pt>
                <c:pt idx="14">
                  <c:v>40.65</c:v>
                </c:pt>
                <c:pt idx="15">
                  <c:v>49.94</c:v>
                </c:pt>
                <c:pt idx="16">
                  <c:v>60.67</c:v>
                </c:pt>
                <c:pt idx="17">
                  <c:v>71.209999999999994</c:v>
                </c:pt>
                <c:pt idx="18">
                  <c:v>81.81</c:v>
                </c:pt>
                <c:pt idx="19">
                  <c:v>90.85</c:v>
                </c:pt>
                <c:pt idx="20">
                  <c:v>100.77</c:v>
                </c:pt>
                <c:pt idx="21">
                  <c:v>104.78</c:v>
                </c:pt>
                <c:pt idx="22">
                  <c:v>114.33</c:v>
                </c:pt>
                <c:pt idx="23">
                  <c:v>117.7</c:v>
                </c:pt>
              </c:numCache>
            </c:numRef>
          </c:yVal>
        </c:ser>
        <c:ser>
          <c:idx val="10"/>
          <c:order val="10"/>
          <c:tx>
            <c:strRef>
              <c:f>Estimator!$BM$69</c:f>
              <c:strCache>
                <c:ptCount val="1"/>
                <c:pt idx="0">
                  <c:v>AZ 48</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Estimator!$BM$70:$BM$93</c:f>
              <c:numCache>
                <c:formatCode>0.00</c:formatCode>
                <c:ptCount val="24"/>
                <c:pt idx="0">
                  <c:v>359.45</c:v>
                </c:pt>
                <c:pt idx="1">
                  <c:v>15.19</c:v>
                </c:pt>
                <c:pt idx="2">
                  <c:v>30.12</c:v>
                </c:pt>
                <c:pt idx="3">
                  <c:v>43.76</c:v>
                </c:pt>
                <c:pt idx="4">
                  <c:v>56.11</c:v>
                </c:pt>
                <c:pt idx="5">
                  <c:v>67.459999999999994</c:v>
                </c:pt>
                <c:pt idx="6">
                  <c:v>78.27</c:v>
                </c:pt>
                <c:pt idx="7">
                  <c:v>89.12</c:v>
                </c:pt>
                <c:pt idx="8">
                  <c:v>100.74</c:v>
                </c:pt>
                <c:pt idx="9">
                  <c:v>114.17</c:v>
                </c:pt>
                <c:pt idx="10">
                  <c:v>130.9</c:v>
                </c:pt>
                <c:pt idx="11">
                  <c:v>152.59</c:v>
                </c:pt>
                <c:pt idx="12">
                  <c:v>179.06</c:v>
                </c:pt>
                <c:pt idx="13">
                  <c:v>205.75</c:v>
                </c:pt>
                <c:pt idx="14">
                  <c:v>227.84</c:v>
                </c:pt>
                <c:pt idx="15">
                  <c:v>244.87</c:v>
                </c:pt>
                <c:pt idx="16">
                  <c:v>258.49</c:v>
                </c:pt>
                <c:pt idx="17">
                  <c:v>270.20999999999998</c:v>
                </c:pt>
                <c:pt idx="18">
                  <c:v>280.89</c:v>
                </c:pt>
                <c:pt idx="19">
                  <c:v>291.70999999999998</c:v>
                </c:pt>
                <c:pt idx="20">
                  <c:v>303.02999999999997</c:v>
                </c:pt>
                <c:pt idx="21">
                  <c:v>309.02</c:v>
                </c:pt>
                <c:pt idx="22">
                  <c:v>328.88</c:v>
                </c:pt>
                <c:pt idx="23">
                  <c:v>343.74</c:v>
                </c:pt>
              </c:numCache>
            </c:numRef>
          </c:yVal>
        </c:ser>
        <c:ser>
          <c:idx val="11"/>
          <c:order val="11"/>
          <c:tx>
            <c:strRef>
              <c:f>Estimator!$BN$69</c:f>
              <c:strCache>
                <c:ptCount val="1"/>
                <c:pt idx="0">
                  <c:v>ZEN 48</c:v>
                </c:pt>
              </c:strCache>
            </c:strRef>
          </c:tx>
          <c:marker>
            <c:symbol val="none"/>
          </c:marker>
          <c:xVal>
            <c:numRef>
              <c:f>Estimator!$BB$70:$BB$93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Estimator!$BN$70:$BN$93</c:f>
              <c:numCache>
                <c:formatCode>0.00</c:formatCode>
                <c:ptCount val="24"/>
                <c:pt idx="0">
                  <c:v>115.29</c:v>
                </c:pt>
                <c:pt idx="1">
                  <c:v>113.94</c:v>
                </c:pt>
                <c:pt idx="2">
                  <c:v>110.08</c:v>
                </c:pt>
                <c:pt idx="3">
                  <c:v>104</c:v>
                </c:pt>
                <c:pt idx="4">
                  <c:v>96.35</c:v>
                </c:pt>
                <c:pt idx="5">
                  <c:v>87.45</c:v>
                </c:pt>
                <c:pt idx="6">
                  <c:v>77.959999999999994</c:v>
                </c:pt>
                <c:pt idx="7">
                  <c:v>67.98</c:v>
                </c:pt>
                <c:pt idx="8">
                  <c:v>58.01</c:v>
                </c:pt>
                <c:pt idx="9">
                  <c:v>48.47</c:v>
                </c:pt>
                <c:pt idx="10">
                  <c:v>40.14</c:v>
                </c:pt>
                <c:pt idx="11">
                  <c:v>33.78</c:v>
                </c:pt>
                <c:pt idx="12">
                  <c:v>31.3</c:v>
                </c:pt>
                <c:pt idx="13">
                  <c:v>33.450000000000003</c:v>
                </c:pt>
                <c:pt idx="14">
                  <c:v>39.53</c:v>
                </c:pt>
                <c:pt idx="15">
                  <c:v>47.81</c:v>
                </c:pt>
                <c:pt idx="16">
                  <c:v>57.29</c:v>
                </c:pt>
                <c:pt idx="17">
                  <c:v>67.27</c:v>
                </c:pt>
                <c:pt idx="18">
                  <c:v>77.430000000000007</c:v>
                </c:pt>
                <c:pt idx="19">
                  <c:v>86.96</c:v>
                </c:pt>
                <c:pt idx="20">
                  <c:v>95.84</c:v>
                </c:pt>
                <c:pt idx="21">
                  <c:v>99.88</c:v>
                </c:pt>
                <c:pt idx="22">
                  <c:v>109.72</c:v>
                </c:pt>
                <c:pt idx="23">
                  <c:v>113.77</c:v>
                </c:pt>
              </c:numCache>
            </c:numRef>
          </c:yVal>
        </c:ser>
        <c:axId val="165079296"/>
        <c:axId val="164954496"/>
      </c:scatterChart>
      <c:valAx>
        <c:axId val="165079296"/>
        <c:scaling>
          <c:orientation val="minMax"/>
        </c:scaling>
        <c:axPos val="b"/>
        <c:title/>
        <c:numFmt formatCode="General" sourceLinked="1"/>
        <c:majorTickMark val="none"/>
        <c:tickLblPos val="nextTo"/>
        <c:crossAx val="164954496"/>
        <c:crosses val="autoZero"/>
        <c:crossBetween val="midCat"/>
      </c:valAx>
      <c:valAx>
        <c:axId val="164954496"/>
        <c:scaling>
          <c:orientation val="minMax"/>
        </c:scaling>
        <c:axPos val="l"/>
        <c:majorGridlines/>
        <c:title/>
        <c:numFmt formatCode="0.00" sourceLinked="1"/>
        <c:majorTickMark val="none"/>
        <c:tickLblPos val="nextTo"/>
        <c:crossAx val="165079296"/>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Summer, Central</a:t>
            </a:r>
          </a:p>
        </c:rich>
      </c:tx>
    </c:title>
    <c:plotArea>
      <c:layout/>
      <c:scatterChart>
        <c:scatterStyle val="lineMarker"/>
        <c:ser>
          <c:idx val="0"/>
          <c:order val="0"/>
          <c:tx>
            <c:strRef>
              <c:f>Estimator!$BC$99</c:f>
              <c:strCache>
                <c:ptCount val="1"/>
                <c:pt idx="0">
                  <c:v>AZ 26</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Estimator!$BC$100:$BC$123</c:f>
              <c:numCache>
                <c:formatCode>0.00</c:formatCode>
                <c:ptCount val="24"/>
                <c:pt idx="0">
                  <c:v>357.89</c:v>
                </c:pt>
                <c:pt idx="1">
                  <c:v>18.5</c:v>
                </c:pt>
                <c:pt idx="2">
                  <c:v>36.01</c:v>
                </c:pt>
                <c:pt idx="3">
                  <c:v>49.44</c:v>
                </c:pt>
                <c:pt idx="4">
                  <c:v>59.61</c:v>
                </c:pt>
                <c:pt idx="5">
                  <c:v>67.599999999999994</c:v>
                </c:pt>
                <c:pt idx="6">
                  <c:v>74.239999999999995</c:v>
                </c:pt>
                <c:pt idx="7">
                  <c:v>80.19</c:v>
                </c:pt>
                <c:pt idx="8">
                  <c:v>86.03</c:v>
                </c:pt>
                <c:pt idx="9">
                  <c:v>92.51</c:v>
                </c:pt>
                <c:pt idx="10">
                  <c:v>101.25</c:v>
                </c:pt>
                <c:pt idx="11">
                  <c:v>117.96</c:v>
                </c:pt>
                <c:pt idx="12">
                  <c:v>171.26</c:v>
                </c:pt>
                <c:pt idx="13">
                  <c:v>236.12</c:v>
                </c:pt>
                <c:pt idx="14">
                  <c:v>256.33</c:v>
                </c:pt>
                <c:pt idx="15">
                  <c:v>265.93</c:v>
                </c:pt>
                <c:pt idx="16">
                  <c:v>272.67</c:v>
                </c:pt>
                <c:pt idx="17">
                  <c:v>278.55</c:v>
                </c:pt>
                <c:pt idx="18">
                  <c:v>284.66000000000003</c:v>
                </c:pt>
                <c:pt idx="19">
                  <c:v>291.08999999999997</c:v>
                </c:pt>
                <c:pt idx="20">
                  <c:v>298.73</c:v>
                </c:pt>
                <c:pt idx="21">
                  <c:v>303.23</c:v>
                </c:pt>
                <c:pt idx="22">
                  <c:v>321.02999999999997</c:v>
                </c:pt>
                <c:pt idx="23">
                  <c:v>337.69</c:v>
                </c:pt>
              </c:numCache>
            </c:numRef>
          </c:yVal>
        </c:ser>
        <c:ser>
          <c:idx val="1"/>
          <c:order val="1"/>
          <c:tx>
            <c:strRef>
              <c:f>Estimator!$BD$99</c:f>
              <c:strCache>
                <c:ptCount val="1"/>
                <c:pt idx="0">
                  <c:v>ZEN 26</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Estimator!$BD$100:$BD$123</c:f>
              <c:numCache>
                <c:formatCode>0.00</c:formatCode>
                <c:ptCount val="24"/>
                <c:pt idx="0">
                  <c:v>137.16</c:v>
                </c:pt>
                <c:pt idx="1">
                  <c:v>135.22999999999999</c:v>
                </c:pt>
                <c:pt idx="2">
                  <c:v>129.07</c:v>
                </c:pt>
                <c:pt idx="3">
                  <c:v>119.82</c:v>
                </c:pt>
                <c:pt idx="4">
                  <c:v>108.85</c:v>
                </c:pt>
                <c:pt idx="5">
                  <c:v>96.78</c:v>
                </c:pt>
                <c:pt idx="6">
                  <c:v>84.05</c:v>
                </c:pt>
                <c:pt idx="7">
                  <c:v>70.87</c:v>
                </c:pt>
                <c:pt idx="8">
                  <c:v>57.51</c:v>
                </c:pt>
                <c:pt idx="9">
                  <c:v>44.06</c:v>
                </c:pt>
                <c:pt idx="10">
                  <c:v>30.76</c:v>
                </c:pt>
                <c:pt idx="11">
                  <c:v>17.98</c:v>
                </c:pt>
                <c:pt idx="12">
                  <c:v>9.52</c:v>
                </c:pt>
                <c:pt idx="13">
                  <c:v>15.64</c:v>
                </c:pt>
                <c:pt idx="14">
                  <c:v>28.03</c:v>
                </c:pt>
                <c:pt idx="15">
                  <c:v>41.42</c:v>
                </c:pt>
                <c:pt idx="16">
                  <c:v>54.83</c:v>
                </c:pt>
                <c:pt idx="17">
                  <c:v>68.31</c:v>
                </c:pt>
                <c:pt idx="18">
                  <c:v>81.48</c:v>
                </c:pt>
                <c:pt idx="19">
                  <c:v>94.21</c:v>
                </c:pt>
                <c:pt idx="20">
                  <c:v>106.45</c:v>
                </c:pt>
                <c:pt idx="21">
                  <c:v>112.24</c:v>
                </c:pt>
                <c:pt idx="22">
                  <c:v>127.32</c:v>
                </c:pt>
                <c:pt idx="23">
                  <c:v>134.36000000000001</c:v>
                </c:pt>
              </c:numCache>
            </c:numRef>
          </c:yVal>
        </c:ser>
        <c:ser>
          <c:idx val="2"/>
          <c:order val="2"/>
          <c:tx>
            <c:strRef>
              <c:f>Estimator!$BE$99</c:f>
              <c:strCache>
                <c:ptCount val="1"/>
                <c:pt idx="0">
                  <c:v>AZ 30</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Estimator!$BE$100:$BE$123</c:f>
              <c:numCache>
                <c:formatCode>0.00</c:formatCode>
                <c:ptCount val="24"/>
                <c:pt idx="0">
                  <c:v>7.75</c:v>
                </c:pt>
                <c:pt idx="1">
                  <c:v>26.11</c:v>
                </c:pt>
                <c:pt idx="2">
                  <c:v>41.36</c:v>
                </c:pt>
                <c:pt idx="3">
                  <c:v>53.4</c:v>
                </c:pt>
                <c:pt idx="4">
                  <c:v>63.01</c:v>
                </c:pt>
                <c:pt idx="5">
                  <c:v>71.02</c:v>
                </c:pt>
                <c:pt idx="6">
                  <c:v>78.14</c:v>
                </c:pt>
                <c:pt idx="7">
                  <c:v>85.01</c:v>
                </c:pt>
                <c:pt idx="8">
                  <c:v>92.37</c:v>
                </c:pt>
                <c:pt idx="9">
                  <c:v>101.53</c:v>
                </c:pt>
                <c:pt idx="10">
                  <c:v>115.81</c:v>
                </c:pt>
                <c:pt idx="11">
                  <c:v>146.15</c:v>
                </c:pt>
                <c:pt idx="12">
                  <c:v>203.52</c:v>
                </c:pt>
                <c:pt idx="13">
                  <c:v>239.81</c:v>
                </c:pt>
                <c:pt idx="14">
                  <c:v>256.04000000000002</c:v>
                </c:pt>
                <c:pt idx="15">
                  <c:v>265.85000000000002</c:v>
                </c:pt>
                <c:pt idx="16">
                  <c:v>273.44</c:v>
                </c:pt>
                <c:pt idx="17">
                  <c:v>280.32</c:v>
                </c:pt>
                <c:pt idx="18">
                  <c:v>287.55</c:v>
                </c:pt>
                <c:pt idx="19">
                  <c:v>295.3</c:v>
                </c:pt>
                <c:pt idx="20">
                  <c:v>304.49</c:v>
                </c:pt>
                <c:pt idx="21">
                  <c:v>309.87</c:v>
                </c:pt>
                <c:pt idx="22">
                  <c:v>330.45</c:v>
                </c:pt>
                <c:pt idx="23">
                  <c:v>348.23</c:v>
                </c:pt>
              </c:numCache>
            </c:numRef>
          </c:yVal>
        </c:ser>
        <c:ser>
          <c:idx val="3"/>
          <c:order val="3"/>
          <c:tx>
            <c:strRef>
              <c:f>Estimator!$BF$99</c:f>
              <c:strCache>
                <c:ptCount val="1"/>
                <c:pt idx="0">
                  <c:v>ZEN 30</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Estimator!$BF$100:$BF$123</c:f>
              <c:numCache>
                <c:formatCode>0.00</c:formatCode>
                <c:ptCount val="24"/>
                <c:pt idx="0">
                  <c:v>132.80000000000001</c:v>
                </c:pt>
                <c:pt idx="1">
                  <c:v>128.97999999999999</c:v>
                </c:pt>
                <c:pt idx="2">
                  <c:v>121.77</c:v>
                </c:pt>
                <c:pt idx="3">
                  <c:v>112.18</c:v>
                </c:pt>
                <c:pt idx="4">
                  <c:v>101.15</c:v>
                </c:pt>
                <c:pt idx="5">
                  <c:v>89.2</c:v>
                </c:pt>
                <c:pt idx="6">
                  <c:v>76.72</c:v>
                </c:pt>
                <c:pt idx="7">
                  <c:v>63.87</c:v>
                </c:pt>
                <c:pt idx="8">
                  <c:v>50.89</c:v>
                </c:pt>
                <c:pt idx="9">
                  <c:v>38.01</c:v>
                </c:pt>
                <c:pt idx="10">
                  <c:v>25.69</c:v>
                </c:pt>
                <c:pt idx="11">
                  <c:v>15.7</c:v>
                </c:pt>
                <c:pt idx="12">
                  <c:v>14.45</c:v>
                </c:pt>
                <c:pt idx="13">
                  <c:v>23.33</c:v>
                </c:pt>
                <c:pt idx="14">
                  <c:v>35.42</c:v>
                </c:pt>
                <c:pt idx="15">
                  <c:v>48.25</c:v>
                </c:pt>
                <c:pt idx="16">
                  <c:v>61.21</c:v>
                </c:pt>
                <c:pt idx="17">
                  <c:v>74.12</c:v>
                </c:pt>
                <c:pt idx="18">
                  <c:v>86.57</c:v>
                </c:pt>
                <c:pt idx="19">
                  <c:v>98.63</c:v>
                </c:pt>
                <c:pt idx="20">
                  <c:v>109.95</c:v>
                </c:pt>
                <c:pt idx="21">
                  <c:v>115.12</c:v>
                </c:pt>
                <c:pt idx="22">
                  <c:v>127.71</c:v>
                </c:pt>
                <c:pt idx="23">
                  <c:v>132.53</c:v>
                </c:pt>
              </c:numCache>
            </c:numRef>
          </c:yVal>
        </c:ser>
        <c:ser>
          <c:idx val="4"/>
          <c:order val="4"/>
          <c:tx>
            <c:strRef>
              <c:f>Estimator!$BG$99</c:f>
              <c:strCache>
                <c:ptCount val="1"/>
                <c:pt idx="0">
                  <c:v>AZ 36</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Estimator!$BG$100:$BG$123</c:f>
              <c:numCache>
                <c:formatCode>0.00</c:formatCode>
                <c:ptCount val="24"/>
                <c:pt idx="0">
                  <c:v>0.09</c:v>
                </c:pt>
                <c:pt idx="1">
                  <c:v>17.73</c:v>
                </c:pt>
                <c:pt idx="2">
                  <c:v>33.6</c:v>
                </c:pt>
                <c:pt idx="3">
                  <c:v>47.01</c:v>
                </c:pt>
                <c:pt idx="4">
                  <c:v>58.18</c:v>
                </c:pt>
                <c:pt idx="5">
                  <c:v>67.760000000000005</c:v>
                </c:pt>
                <c:pt idx="6">
                  <c:v>76.38</c:v>
                </c:pt>
                <c:pt idx="7">
                  <c:v>84.7</c:v>
                </c:pt>
                <c:pt idx="8">
                  <c:v>93.49</c:v>
                </c:pt>
                <c:pt idx="9">
                  <c:v>103.92</c:v>
                </c:pt>
                <c:pt idx="10">
                  <c:v>118.31</c:v>
                </c:pt>
                <c:pt idx="11">
                  <c:v>141.84</c:v>
                </c:pt>
                <c:pt idx="12">
                  <c:v>180.25</c:v>
                </c:pt>
                <c:pt idx="13">
                  <c:v>218.48</c:v>
                </c:pt>
                <c:pt idx="14">
                  <c:v>241.82</c:v>
                </c:pt>
                <c:pt idx="15">
                  <c:v>256.14</c:v>
                </c:pt>
                <c:pt idx="16">
                  <c:v>266.52</c:v>
                </c:pt>
                <c:pt idx="17">
                  <c:v>275.29000000000002</c:v>
                </c:pt>
                <c:pt idx="18">
                  <c:v>283.82</c:v>
                </c:pt>
                <c:pt idx="19">
                  <c:v>292.42</c:v>
                </c:pt>
                <c:pt idx="20">
                  <c:v>301.98</c:v>
                </c:pt>
                <c:pt idx="21">
                  <c:v>307.33</c:v>
                </c:pt>
                <c:pt idx="22">
                  <c:v>326.56</c:v>
                </c:pt>
                <c:pt idx="23">
                  <c:v>342.44</c:v>
                </c:pt>
              </c:numCache>
            </c:numRef>
          </c:yVal>
        </c:ser>
        <c:ser>
          <c:idx val="5"/>
          <c:order val="5"/>
          <c:tx>
            <c:strRef>
              <c:f>Estimator!$BH$99</c:f>
              <c:strCache>
                <c:ptCount val="1"/>
                <c:pt idx="0">
                  <c:v>ZEN 36</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Estimator!$BH$100:$BH$123</c:f>
              <c:numCache>
                <c:formatCode>0.00</c:formatCode>
                <c:ptCount val="24"/>
                <c:pt idx="0">
                  <c:v>127.04</c:v>
                </c:pt>
                <c:pt idx="1">
                  <c:v>125.16</c:v>
                </c:pt>
                <c:pt idx="2">
                  <c:v>120.02</c:v>
                </c:pt>
                <c:pt idx="3">
                  <c:v>112.07</c:v>
                </c:pt>
                <c:pt idx="4">
                  <c:v>102.44</c:v>
                </c:pt>
                <c:pt idx="5">
                  <c:v>91.64</c:v>
                </c:pt>
                <c:pt idx="6">
                  <c:v>80.13</c:v>
                </c:pt>
                <c:pt idx="7">
                  <c:v>68.2</c:v>
                </c:pt>
                <c:pt idx="8">
                  <c:v>56.13</c:v>
                </c:pt>
                <c:pt idx="9">
                  <c:v>44.17</c:v>
                </c:pt>
                <c:pt idx="10">
                  <c:v>32.82</c:v>
                </c:pt>
                <c:pt idx="11">
                  <c:v>23.47</c:v>
                </c:pt>
                <c:pt idx="12">
                  <c:v>19.420000000000002</c:v>
                </c:pt>
                <c:pt idx="13">
                  <c:v>23.6</c:v>
                </c:pt>
                <c:pt idx="14">
                  <c:v>33.01</c:v>
                </c:pt>
                <c:pt idx="15">
                  <c:v>44.34</c:v>
                </c:pt>
                <c:pt idx="16">
                  <c:v>56.3</c:v>
                </c:pt>
                <c:pt idx="17">
                  <c:v>68.430000000000007</c:v>
                </c:pt>
                <c:pt idx="18">
                  <c:v>80.19</c:v>
                </c:pt>
                <c:pt idx="19">
                  <c:v>91.65</c:v>
                </c:pt>
                <c:pt idx="20">
                  <c:v>102.52</c:v>
                </c:pt>
                <c:pt idx="21">
                  <c:v>107.45</c:v>
                </c:pt>
                <c:pt idx="22">
                  <c:v>119.93</c:v>
                </c:pt>
                <c:pt idx="23">
                  <c:v>125.16</c:v>
                </c:pt>
              </c:numCache>
            </c:numRef>
          </c:yVal>
        </c:ser>
        <c:ser>
          <c:idx val="6"/>
          <c:order val="6"/>
          <c:tx>
            <c:strRef>
              <c:f>Estimator!$BI$99</c:f>
              <c:strCache>
                <c:ptCount val="1"/>
                <c:pt idx="0">
                  <c:v>AZ 41</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Estimator!$BI$100:$BI$123</c:f>
              <c:numCache>
                <c:formatCode>0.00</c:formatCode>
                <c:ptCount val="24"/>
                <c:pt idx="0">
                  <c:v>359.22</c:v>
                </c:pt>
                <c:pt idx="1">
                  <c:v>16</c:v>
                </c:pt>
                <c:pt idx="2">
                  <c:v>31.51</c:v>
                </c:pt>
                <c:pt idx="3">
                  <c:v>45.1</c:v>
                </c:pt>
                <c:pt idx="4">
                  <c:v>56.85</c:v>
                </c:pt>
                <c:pt idx="5">
                  <c:v>67.2</c:v>
                </c:pt>
                <c:pt idx="6">
                  <c:v>76.739999999999995</c:v>
                </c:pt>
                <c:pt idx="7">
                  <c:v>86.1</c:v>
                </c:pt>
                <c:pt idx="8">
                  <c:v>96.06</c:v>
                </c:pt>
                <c:pt idx="9">
                  <c:v>107.77</c:v>
                </c:pt>
                <c:pt idx="10">
                  <c:v>123.29</c:v>
                </c:pt>
                <c:pt idx="11">
                  <c:v>146.11000000000001</c:v>
                </c:pt>
                <c:pt idx="12">
                  <c:v>178.41</c:v>
                </c:pt>
                <c:pt idx="13">
                  <c:v>211.32</c:v>
                </c:pt>
                <c:pt idx="14">
                  <c:v>234.97</c:v>
                </c:pt>
                <c:pt idx="15">
                  <c:v>250.95</c:v>
                </c:pt>
                <c:pt idx="16">
                  <c:v>262.89</c:v>
                </c:pt>
                <c:pt idx="17">
                  <c:v>272.94</c:v>
                </c:pt>
                <c:pt idx="18">
                  <c:v>282.51</c:v>
                </c:pt>
                <c:pt idx="19">
                  <c:v>291.98</c:v>
                </c:pt>
                <c:pt idx="20">
                  <c:v>302.20999999999998</c:v>
                </c:pt>
                <c:pt idx="21">
                  <c:v>307.8</c:v>
                </c:pt>
                <c:pt idx="22">
                  <c:v>327.17</c:v>
                </c:pt>
                <c:pt idx="23">
                  <c:v>342.51</c:v>
                </c:pt>
              </c:numCache>
            </c:numRef>
          </c:yVal>
        </c:ser>
        <c:ser>
          <c:idx val="7"/>
          <c:order val="7"/>
          <c:tx>
            <c:strRef>
              <c:f>Estimator!$BJ$99</c:f>
              <c:strCache>
                <c:ptCount val="1"/>
                <c:pt idx="0">
                  <c:v>ZEN 41</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Estimator!$BJ$100:$BJ$123</c:f>
              <c:numCache>
                <c:formatCode>0.00</c:formatCode>
                <c:ptCount val="24"/>
                <c:pt idx="0">
                  <c:v>122.13</c:v>
                </c:pt>
                <c:pt idx="1">
                  <c:v>120.91</c:v>
                </c:pt>
                <c:pt idx="2">
                  <c:v>116.3</c:v>
                </c:pt>
                <c:pt idx="3">
                  <c:v>109.26</c:v>
                </c:pt>
                <c:pt idx="4">
                  <c:v>100.43</c:v>
                </c:pt>
                <c:pt idx="5">
                  <c:v>90.42</c:v>
                </c:pt>
                <c:pt idx="6">
                  <c:v>82.76</c:v>
                </c:pt>
                <c:pt idx="7">
                  <c:v>68.430000000000007</c:v>
                </c:pt>
                <c:pt idx="8">
                  <c:v>57.13</c:v>
                </c:pt>
                <c:pt idx="9">
                  <c:v>46.09</c:v>
                </c:pt>
                <c:pt idx="10">
                  <c:v>35.729999999999997</c:v>
                </c:pt>
                <c:pt idx="11">
                  <c:v>27.67</c:v>
                </c:pt>
                <c:pt idx="12">
                  <c:v>24.16</c:v>
                </c:pt>
                <c:pt idx="13">
                  <c:v>27.12</c:v>
                </c:pt>
                <c:pt idx="14">
                  <c:v>34.99</c:v>
                </c:pt>
                <c:pt idx="15">
                  <c:v>45.11</c:v>
                </c:pt>
                <c:pt idx="16">
                  <c:v>56.13</c:v>
                </c:pt>
                <c:pt idx="17">
                  <c:v>67.48</c:v>
                </c:pt>
                <c:pt idx="18">
                  <c:v>78.53</c:v>
                </c:pt>
                <c:pt idx="19">
                  <c:v>89.35</c:v>
                </c:pt>
                <c:pt idx="20">
                  <c:v>99.43</c:v>
                </c:pt>
                <c:pt idx="21">
                  <c:v>104.13</c:v>
                </c:pt>
                <c:pt idx="22">
                  <c:v>115.68</c:v>
                </c:pt>
                <c:pt idx="23">
                  <c:v>120.55</c:v>
                </c:pt>
              </c:numCache>
            </c:numRef>
          </c:yVal>
        </c:ser>
        <c:ser>
          <c:idx val="8"/>
          <c:order val="8"/>
          <c:tx>
            <c:strRef>
              <c:f>Estimator!$BK$99</c:f>
              <c:strCache>
                <c:ptCount val="1"/>
                <c:pt idx="0">
                  <c:v>AZ 45</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Estimator!$BK$100:$BK$123</c:f>
              <c:numCache>
                <c:formatCode>0.00</c:formatCode>
                <c:ptCount val="24"/>
                <c:pt idx="0">
                  <c:v>2.96</c:v>
                </c:pt>
                <c:pt idx="1">
                  <c:v>18.95</c:v>
                </c:pt>
                <c:pt idx="2">
                  <c:v>33.78</c:v>
                </c:pt>
                <c:pt idx="3">
                  <c:v>47.05</c:v>
                </c:pt>
                <c:pt idx="4">
                  <c:v>58.86</c:v>
                </c:pt>
                <c:pt idx="5">
                  <c:v>69.61</c:v>
                </c:pt>
                <c:pt idx="6">
                  <c:v>79.83</c:v>
                </c:pt>
                <c:pt idx="7">
                  <c:v>90.15</c:v>
                </c:pt>
                <c:pt idx="8">
                  <c:v>101.4</c:v>
                </c:pt>
                <c:pt idx="9">
                  <c:v>114.79</c:v>
                </c:pt>
                <c:pt idx="10">
                  <c:v>132.25</c:v>
                </c:pt>
                <c:pt idx="11">
                  <c:v>156.08000000000001</c:v>
                </c:pt>
                <c:pt idx="12">
                  <c:v>185.54</c:v>
                </c:pt>
                <c:pt idx="13">
                  <c:v>213.45</c:v>
                </c:pt>
                <c:pt idx="14">
                  <c:v>234.72</c:v>
                </c:pt>
                <c:pt idx="15">
                  <c:v>250.39</c:v>
                </c:pt>
                <c:pt idx="16">
                  <c:v>262.81</c:v>
                </c:pt>
                <c:pt idx="17">
                  <c:v>273.58999999999997</c:v>
                </c:pt>
                <c:pt idx="18">
                  <c:v>283.97000000000003</c:v>
                </c:pt>
                <c:pt idx="19">
                  <c:v>294.29000000000002</c:v>
                </c:pt>
                <c:pt idx="20">
                  <c:v>305.35000000000002</c:v>
                </c:pt>
                <c:pt idx="21">
                  <c:v>311.31</c:v>
                </c:pt>
                <c:pt idx="22">
                  <c:v>331.46</c:v>
                </c:pt>
                <c:pt idx="23">
                  <c:v>346.78</c:v>
                </c:pt>
              </c:numCache>
            </c:numRef>
          </c:yVal>
        </c:ser>
        <c:ser>
          <c:idx val="9"/>
          <c:order val="9"/>
          <c:tx>
            <c:strRef>
              <c:f>Estimator!$BL$99</c:f>
              <c:strCache>
                <c:ptCount val="1"/>
                <c:pt idx="0">
                  <c:v>ZEN 45</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Estimator!$BL$100:$BL$123</c:f>
              <c:numCache>
                <c:formatCode>0.00</c:formatCode>
                <c:ptCount val="24"/>
                <c:pt idx="0">
                  <c:v>118.15</c:v>
                </c:pt>
                <c:pt idx="1">
                  <c:v>116.13</c:v>
                </c:pt>
                <c:pt idx="2">
                  <c:v>111.44</c:v>
                </c:pt>
                <c:pt idx="3">
                  <c:v>104.56</c:v>
                </c:pt>
                <c:pt idx="4">
                  <c:v>96.36</c:v>
                </c:pt>
                <c:pt idx="5">
                  <c:v>86.57</c:v>
                </c:pt>
                <c:pt idx="6">
                  <c:v>76.260000000000005</c:v>
                </c:pt>
                <c:pt idx="7">
                  <c:v>65.819999999999993</c:v>
                </c:pt>
                <c:pt idx="8">
                  <c:v>55.25</c:v>
                </c:pt>
                <c:pt idx="9">
                  <c:v>45.5</c:v>
                </c:pt>
                <c:pt idx="10">
                  <c:v>36.36</c:v>
                </c:pt>
                <c:pt idx="11">
                  <c:v>30.09</c:v>
                </c:pt>
                <c:pt idx="12">
                  <c:v>28.39</c:v>
                </c:pt>
                <c:pt idx="13">
                  <c:v>31.92</c:v>
                </c:pt>
                <c:pt idx="14">
                  <c:v>39.299999999999997</c:v>
                </c:pt>
                <c:pt idx="15">
                  <c:v>48.85</c:v>
                </c:pt>
                <c:pt idx="16">
                  <c:v>59.17</c:v>
                </c:pt>
                <c:pt idx="17">
                  <c:v>69.760000000000005</c:v>
                </c:pt>
                <c:pt idx="18">
                  <c:v>80.02</c:v>
                </c:pt>
                <c:pt idx="19">
                  <c:v>90.03</c:v>
                </c:pt>
                <c:pt idx="20">
                  <c:v>99.29</c:v>
                </c:pt>
                <c:pt idx="21">
                  <c:v>103.43</c:v>
                </c:pt>
                <c:pt idx="22">
                  <c:v>113.37</c:v>
                </c:pt>
                <c:pt idx="23">
                  <c:v>117.19</c:v>
                </c:pt>
              </c:numCache>
            </c:numRef>
          </c:yVal>
        </c:ser>
        <c:ser>
          <c:idx val="10"/>
          <c:order val="10"/>
          <c:tx>
            <c:strRef>
              <c:f>Estimator!$BM$99</c:f>
              <c:strCache>
                <c:ptCount val="1"/>
                <c:pt idx="0">
                  <c:v>AZ 48</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Estimator!$BM$100:$BM$123</c:f>
              <c:numCache>
                <c:formatCode>0.00</c:formatCode>
                <c:ptCount val="24"/>
                <c:pt idx="0">
                  <c:v>356.98</c:v>
                </c:pt>
                <c:pt idx="1">
                  <c:v>12.75</c:v>
                </c:pt>
                <c:pt idx="2">
                  <c:v>27.83</c:v>
                </c:pt>
                <c:pt idx="3">
                  <c:v>41.69</c:v>
                </c:pt>
                <c:pt idx="4">
                  <c:v>54.23</c:v>
                </c:pt>
                <c:pt idx="5">
                  <c:v>65.72</c:v>
                </c:pt>
                <c:pt idx="6">
                  <c:v>76.59</c:v>
                </c:pt>
                <c:pt idx="7">
                  <c:v>87.41</c:v>
                </c:pt>
                <c:pt idx="8">
                  <c:v>98.88</c:v>
                </c:pt>
                <c:pt idx="9">
                  <c:v>111.96</c:v>
                </c:pt>
                <c:pt idx="10">
                  <c:v>128.08000000000001</c:v>
                </c:pt>
                <c:pt idx="11">
                  <c:v>148.91</c:v>
                </c:pt>
                <c:pt idx="12">
                  <c:v>174.78</c:v>
                </c:pt>
                <c:pt idx="13">
                  <c:v>201.75</c:v>
                </c:pt>
                <c:pt idx="14">
                  <c:v>224.62</c:v>
                </c:pt>
                <c:pt idx="15">
                  <c:v>242.32</c:v>
                </c:pt>
                <c:pt idx="16">
                  <c:v>256.33999999999997</c:v>
                </c:pt>
                <c:pt idx="17">
                  <c:v>268.27999999999997</c:v>
                </c:pt>
                <c:pt idx="18">
                  <c:v>279.41000000000003</c:v>
                </c:pt>
                <c:pt idx="19">
                  <c:v>290.17</c:v>
                </c:pt>
                <c:pt idx="20">
                  <c:v>301.33999999999997</c:v>
                </c:pt>
                <c:pt idx="21">
                  <c:v>307.24</c:v>
                </c:pt>
                <c:pt idx="22">
                  <c:v>326.75</c:v>
                </c:pt>
                <c:pt idx="23">
                  <c:v>341.39</c:v>
                </c:pt>
              </c:numCache>
            </c:numRef>
          </c:yVal>
        </c:ser>
        <c:ser>
          <c:idx val="11"/>
          <c:order val="11"/>
          <c:tx>
            <c:strRef>
              <c:f>Estimator!$BN$99</c:f>
              <c:strCache>
                <c:ptCount val="1"/>
                <c:pt idx="0">
                  <c:v>ZEN 48</c:v>
                </c:pt>
              </c:strCache>
            </c:strRef>
          </c:tx>
          <c:marker>
            <c:symbol val="none"/>
          </c:marker>
          <c:xVal>
            <c:numRef>
              <c:f>Estimator!$BB$100:$BB$123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Estimator!$BN$100:$BN$123</c:f>
              <c:numCache>
                <c:formatCode>0.00</c:formatCode>
                <c:ptCount val="24"/>
                <c:pt idx="0">
                  <c:v>115.01</c:v>
                </c:pt>
                <c:pt idx="1">
                  <c:v>114.16</c:v>
                </c:pt>
                <c:pt idx="2">
                  <c:v>110.7</c:v>
                </c:pt>
                <c:pt idx="3">
                  <c:v>105</c:v>
                </c:pt>
                <c:pt idx="4">
                  <c:v>97.6</c:v>
                </c:pt>
                <c:pt idx="5">
                  <c:v>88.99</c:v>
                </c:pt>
                <c:pt idx="6">
                  <c:v>79.38</c:v>
                </c:pt>
                <c:pt idx="7">
                  <c:v>69.61</c:v>
                </c:pt>
                <c:pt idx="8">
                  <c:v>59.61</c:v>
                </c:pt>
                <c:pt idx="9">
                  <c:v>49.96</c:v>
                </c:pt>
                <c:pt idx="10">
                  <c:v>41.31</c:v>
                </c:pt>
                <c:pt idx="11">
                  <c:v>34.65</c:v>
                </c:pt>
                <c:pt idx="12">
                  <c:v>31.52</c:v>
                </c:pt>
                <c:pt idx="13">
                  <c:v>33.119999999999997</c:v>
                </c:pt>
                <c:pt idx="14">
                  <c:v>38.5</c:v>
                </c:pt>
                <c:pt idx="15">
                  <c:v>46.83</c:v>
                </c:pt>
                <c:pt idx="16">
                  <c:v>56.36</c:v>
                </c:pt>
                <c:pt idx="17">
                  <c:v>65.87</c:v>
                </c:pt>
                <c:pt idx="18">
                  <c:v>75.64</c:v>
                </c:pt>
                <c:pt idx="19">
                  <c:v>85.32</c:v>
                </c:pt>
                <c:pt idx="20">
                  <c:v>94.33</c:v>
                </c:pt>
                <c:pt idx="21">
                  <c:v>98.47</c:v>
                </c:pt>
                <c:pt idx="22">
                  <c:v>108.73</c:v>
                </c:pt>
                <c:pt idx="23">
                  <c:v>113.15</c:v>
                </c:pt>
              </c:numCache>
            </c:numRef>
          </c:yVal>
        </c:ser>
        <c:axId val="165016704"/>
        <c:axId val="165018624"/>
      </c:scatterChart>
      <c:valAx>
        <c:axId val="165016704"/>
        <c:scaling>
          <c:orientation val="minMax"/>
        </c:scaling>
        <c:axPos val="b"/>
        <c:title/>
        <c:numFmt formatCode="General" sourceLinked="1"/>
        <c:majorTickMark val="none"/>
        <c:tickLblPos val="nextTo"/>
        <c:crossAx val="165018624"/>
        <c:crosses val="autoZero"/>
        <c:crossBetween val="midCat"/>
      </c:valAx>
      <c:valAx>
        <c:axId val="165018624"/>
        <c:scaling>
          <c:orientation val="minMax"/>
        </c:scaling>
        <c:axPos val="l"/>
        <c:majorGridlines/>
        <c:title/>
        <c:numFmt formatCode="0.00" sourceLinked="1"/>
        <c:majorTickMark val="none"/>
        <c:tickLblPos val="nextTo"/>
        <c:crossAx val="165016704"/>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Fall, Central</a:t>
            </a:r>
          </a:p>
        </c:rich>
      </c:tx>
    </c:title>
    <c:plotArea>
      <c:layout/>
      <c:scatterChart>
        <c:scatterStyle val="lineMarker"/>
        <c:ser>
          <c:idx val="0"/>
          <c:order val="0"/>
          <c:tx>
            <c:strRef>
              <c:f>Estimator!$BC$129</c:f>
              <c:strCache>
                <c:ptCount val="1"/>
                <c:pt idx="0">
                  <c:v>AZ 26</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Estimator!$BC$130:$BC$153</c:f>
              <c:numCache>
                <c:formatCode>0.00</c:formatCode>
                <c:ptCount val="24"/>
                <c:pt idx="0">
                  <c:v>20.91</c:v>
                </c:pt>
                <c:pt idx="1">
                  <c:v>63.36</c:v>
                </c:pt>
                <c:pt idx="2">
                  <c:v>78.63</c:v>
                </c:pt>
                <c:pt idx="3">
                  <c:v>87.23</c:v>
                </c:pt>
                <c:pt idx="4">
                  <c:v>93.77</c:v>
                </c:pt>
                <c:pt idx="5">
                  <c:v>99.71</c:v>
                </c:pt>
                <c:pt idx="6">
                  <c:v>105.81</c:v>
                </c:pt>
                <c:pt idx="7">
                  <c:v>112.67</c:v>
                </c:pt>
                <c:pt idx="8">
                  <c:v>120.98</c:v>
                </c:pt>
                <c:pt idx="9">
                  <c:v>131.68</c:v>
                </c:pt>
                <c:pt idx="10">
                  <c:v>145.94999999999999</c:v>
                </c:pt>
                <c:pt idx="11">
                  <c:v>164.52</c:v>
                </c:pt>
                <c:pt idx="12">
                  <c:v>185.92</c:v>
                </c:pt>
                <c:pt idx="13">
                  <c:v>206.15</c:v>
                </c:pt>
                <c:pt idx="14">
                  <c:v>222.32</c:v>
                </c:pt>
                <c:pt idx="15">
                  <c:v>234.46</c:v>
                </c:pt>
                <c:pt idx="16">
                  <c:v>243.7</c:v>
                </c:pt>
                <c:pt idx="17">
                  <c:v>251.1</c:v>
                </c:pt>
                <c:pt idx="18">
                  <c:v>257.72000000000003</c:v>
                </c:pt>
                <c:pt idx="19">
                  <c:v>263.64999999999998</c:v>
                </c:pt>
                <c:pt idx="20">
                  <c:v>269.79000000000002</c:v>
                </c:pt>
                <c:pt idx="21">
                  <c:v>273.22000000000003</c:v>
                </c:pt>
                <c:pt idx="22">
                  <c:v>288.36</c:v>
                </c:pt>
                <c:pt idx="23">
                  <c:v>313.74</c:v>
                </c:pt>
              </c:numCache>
            </c:numRef>
          </c:yVal>
        </c:ser>
        <c:ser>
          <c:idx val="1"/>
          <c:order val="1"/>
          <c:tx>
            <c:strRef>
              <c:f>Estimator!$BD$129</c:f>
              <c:strCache>
                <c:ptCount val="1"/>
                <c:pt idx="0">
                  <c:v>ZEN 26</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Estimator!$BD$130:$BD$153</c:f>
              <c:numCache>
                <c:formatCode>0.00</c:formatCode>
                <c:ptCount val="24"/>
                <c:pt idx="0">
                  <c:v>168.85</c:v>
                </c:pt>
                <c:pt idx="1">
                  <c:v>159.34</c:v>
                </c:pt>
                <c:pt idx="2">
                  <c:v>146.58000000000001</c:v>
                </c:pt>
                <c:pt idx="3">
                  <c:v>133.18</c:v>
                </c:pt>
                <c:pt idx="4">
                  <c:v>119.71</c:v>
                </c:pt>
                <c:pt idx="5">
                  <c:v>106.31</c:v>
                </c:pt>
                <c:pt idx="6">
                  <c:v>93.2</c:v>
                </c:pt>
                <c:pt idx="7">
                  <c:v>80.48</c:v>
                </c:pt>
                <c:pt idx="8">
                  <c:v>68.58</c:v>
                </c:pt>
                <c:pt idx="9">
                  <c:v>57.56</c:v>
                </c:pt>
                <c:pt idx="10">
                  <c:v>48.69</c:v>
                </c:pt>
                <c:pt idx="11">
                  <c:v>43.06</c:v>
                </c:pt>
                <c:pt idx="12">
                  <c:v>41.86</c:v>
                </c:pt>
                <c:pt idx="13">
                  <c:v>45.66</c:v>
                </c:pt>
                <c:pt idx="14">
                  <c:v>53.23</c:v>
                </c:pt>
                <c:pt idx="15">
                  <c:v>61.66</c:v>
                </c:pt>
                <c:pt idx="16">
                  <c:v>74.959999999999994</c:v>
                </c:pt>
                <c:pt idx="17">
                  <c:v>87.41</c:v>
                </c:pt>
                <c:pt idx="18">
                  <c:v>100.36</c:v>
                </c:pt>
                <c:pt idx="19">
                  <c:v>113.6</c:v>
                </c:pt>
                <c:pt idx="20">
                  <c:v>127.04</c:v>
                </c:pt>
                <c:pt idx="21">
                  <c:v>133.79</c:v>
                </c:pt>
                <c:pt idx="22">
                  <c:v>153.68</c:v>
                </c:pt>
                <c:pt idx="23">
                  <c:v>165.38</c:v>
                </c:pt>
              </c:numCache>
            </c:numRef>
          </c:yVal>
        </c:ser>
        <c:ser>
          <c:idx val="2"/>
          <c:order val="2"/>
          <c:tx>
            <c:strRef>
              <c:f>Estimator!$BE$129</c:f>
              <c:strCache>
                <c:ptCount val="1"/>
                <c:pt idx="0">
                  <c:v>AZ 30</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Estimator!$BE$130:$BE$153</c:f>
              <c:numCache>
                <c:formatCode>0.00</c:formatCode>
                <c:ptCount val="24"/>
                <c:pt idx="0">
                  <c:v>38.700000000000003</c:v>
                </c:pt>
                <c:pt idx="1">
                  <c:v>65.150000000000006</c:v>
                </c:pt>
                <c:pt idx="2">
                  <c:v>78.61</c:v>
                </c:pt>
                <c:pt idx="3">
                  <c:v>87.62</c:v>
                </c:pt>
                <c:pt idx="4">
                  <c:v>95</c:v>
                </c:pt>
                <c:pt idx="5">
                  <c:v>101.96</c:v>
                </c:pt>
                <c:pt idx="6">
                  <c:v>109.24</c:v>
                </c:pt>
                <c:pt idx="7">
                  <c:v>117.5</c:v>
                </c:pt>
                <c:pt idx="8">
                  <c:v>127.49</c:v>
                </c:pt>
                <c:pt idx="9">
                  <c:v>140.12</c:v>
                </c:pt>
                <c:pt idx="10">
                  <c:v>156.18</c:v>
                </c:pt>
                <c:pt idx="11">
                  <c:v>175.35</c:v>
                </c:pt>
                <c:pt idx="12">
                  <c:v>195.26</c:v>
                </c:pt>
                <c:pt idx="13">
                  <c:v>212.89</c:v>
                </c:pt>
                <c:pt idx="14">
                  <c:v>227.02</c:v>
                </c:pt>
                <c:pt idx="15">
                  <c:v>238.09</c:v>
                </c:pt>
                <c:pt idx="16">
                  <c:v>247.02</c:v>
                </c:pt>
                <c:pt idx="17">
                  <c:v>254.64</c:v>
                </c:pt>
                <c:pt idx="18">
                  <c:v>261.92</c:v>
                </c:pt>
                <c:pt idx="19">
                  <c:v>268.99</c:v>
                </c:pt>
                <c:pt idx="20">
                  <c:v>277.02</c:v>
                </c:pt>
                <c:pt idx="21">
                  <c:v>281.89999999999998</c:v>
                </c:pt>
                <c:pt idx="22">
                  <c:v>306.54000000000002</c:v>
                </c:pt>
                <c:pt idx="23">
                  <c:v>346.91</c:v>
                </c:pt>
              </c:numCache>
            </c:numRef>
          </c:yVal>
        </c:ser>
        <c:ser>
          <c:idx val="3"/>
          <c:order val="3"/>
          <c:tx>
            <c:strRef>
              <c:f>Estimator!$BF$129</c:f>
              <c:strCache>
                <c:ptCount val="1"/>
                <c:pt idx="0">
                  <c:v>ZEN 30</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Estimator!$BF$130:$BF$153</c:f>
              <c:numCache>
                <c:formatCode>0.00</c:formatCode>
                <c:ptCount val="24"/>
                <c:pt idx="0">
                  <c:v>162.03</c:v>
                </c:pt>
                <c:pt idx="1">
                  <c:v>151.69999999999999</c:v>
                </c:pt>
                <c:pt idx="2">
                  <c:v>139.28</c:v>
                </c:pt>
                <c:pt idx="3">
                  <c:v>126.44</c:v>
                </c:pt>
                <c:pt idx="4">
                  <c:v>113.48</c:v>
                </c:pt>
                <c:pt idx="5">
                  <c:v>100.68</c:v>
                </c:pt>
                <c:pt idx="6">
                  <c:v>88.16</c:v>
                </c:pt>
                <c:pt idx="7">
                  <c:v>76.27</c:v>
                </c:pt>
                <c:pt idx="8">
                  <c:v>65.540000000000006</c:v>
                </c:pt>
                <c:pt idx="9">
                  <c:v>55.91</c:v>
                </c:pt>
                <c:pt idx="10">
                  <c:v>49.02</c:v>
                </c:pt>
                <c:pt idx="11">
                  <c:v>45.82</c:v>
                </c:pt>
                <c:pt idx="12">
                  <c:v>47.04</c:v>
                </c:pt>
                <c:pt idx="13">
                  <c:v>52.38</c:v>
                </c:pt>
                <c:pt idx="14">
                  <c:v>60.77</c:v>
                </c:pt>
                <c:pt idx="15">
                  <c:v>71.099999999999994</c:v>
                </c:pt>
                <c:pt idx="16">
                  <c:v>82.63</c:v>
                </c:pt>
                <c:pt idx="17">
                  <c:v>94.92</c:v>
                </c:pt>
                <c:pt idx="18">
                  <c:v>107.29</c:v>
                </c:pt>
                <c:pt idx="19">
                  <c:v>120.44</c:v>
                </c:pt>
                <c:pt idx="20">
                  <c:v>133.41</c:v>
                </c:pt>
                <c:pt idx="21">
                  <c:v>139.80000000000001</c:v>
                </c:pt>
                <c:pt idx="22">
                  <c:v>157.69</c:v>
                </c:pt>
                <c:pt idx="23">
                  <c:v>165.17</c:v>
                </c:pt>
              </c:numCache>
            </c:numRef>
          </c:yVal>
        </c:ser>
        <c:ser>
          <c:idx val="4"/>
          <c:order val="4"/>
          <c:tx>
            <c:strRef>
              <c:f>Estimator!$BG$129</c:f>
              <c:strCache>
                <c:ptCount val="1"/>
                <c:pt idx="0">
                  <c:v>AZ 36</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Estimator!$BG$130:$BG$153</c:f>
              <c:numCache>
                <c:formatCode>0.00</c:formatCode>
                <c:ptCount val="24"/>
                <c:pt idx="0">
                  <c:v>15.27</c:v>
                </c:pt>
                <c:pt idx="1">
                  <c:v>47.19</c:v>
                </c:pt>
                <c:pt idx="2">
                  <c:v>66.45</c:v>
                </c:pt>
                <c:pt idx="3">
                  <c:v>79.12</c:v>
                </c:pt>
                <c:pt idx="4">
                  <c:v>88.89</c:v>
                </c:pt>
                <c:pt idx="5">
                  <c:v>97.5</c:v>
                </c:pt>
                <c:pt idx="6">
                  <c:v>105.92</c:v>
                </c:pt>
                <c:pt idx="7">
                  <c:v>114.88</c:v>
                </c:pt>
                <c:pt idx="8">
                  <c:v>125.05</c:v>
                </c:pt>
                <c:pt idx="9">
                  <c:v>137.12</c:v>
                </c:pt>
                <c:pt idx="10">
                  <c:v>151.66</c:v>
                </c:pt>
                <c:pt idx="11">
                  <c:v>168.67</c:v>
                </c:pt>
                <c:pt idx="12">
                  <c:v>186.93</c:v>
                </c:pt>
                <c:pt idx="13">
                  <c:v>204.39</c:v>
                </c:pt>
                <c:pt idx="14">
                  <c:v>219.55</c:v>
                </c:pt>
                <c:pt idx="15">
                  <c:v>232.16</c:v>
                </c:pt>
                <c:pt idx="16">
                  <c:v>242.7</c:v>
                </c:pt>
                <c:pt idx="17">
                  <c:v>251.86</c:v>
                </c:pt>
                <c:pt idx="18">
                  <c:v>260.58999999999997</c:v>
                </c:pt>
                <c:pt idx="19">
                  <c:v>269.07</c:v>
                </c:pt>
                <c:pt idx="20">
                  <c:v>278.43</c:v>
                </c:pt>
                <c:pt idx="21">
                  <c:v>283.85000000000002</c:v>
                </c:pt>
                <c:pt idx="22">
                  <c:v>307.27</c:v>
                </c:pt>
                <c:pt idx="23">
                  <c:v>335.64</c:v>
                </c:pt>
              </c:numCache>
            </c:numRef>
          </c:yVal>
        </c:ser>
        <c:ser>
          <c:idx val="5"/>
          <c:order val="5"/>
          <c:tx>
            <c:strRef>
              <c:f>Estimator!$BH$129</c:f>
              <c:strCache>
                <c:ptCount val="1"/>
                <c:pt idx="0">
                  <c:v>ZEN 36</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Estimator!$BH$130:$BH$153</c:f>
              <c:numCache>
                <c:formatCode>0.00</c:formatCode>
                <c:ptCount val="24"/>
                <c:pt idx="0">
                  <c:v>158.79</c:v>
                </c:pt>
                <c:pt idx="1">
                  <c:v>152.35</c:v>
                </c:pt>
                <c:pt idx="2">
                  <c:v>141.82</c:v>
                </c:pt>
                <c:pt idx="3">
                  <c:v>130.63999999999999</c:v>
                </c:pt>
                <c:pt idx="4">
                  <c:v>118.59</c:v>
                </c:pt>
                <c:pt idx="5">
                  <c:v>106.41</c:v>
                </c:pt>
                <c:pt idx="6">
                  <c:v>94.71</c:v>
                </c:pt>
                <c:pt idx="7">
                  <c:v>83.34</c:v>
                </c:pt>
                <c:pt idx="8">
                  <c:v>73.36</c:v>
                </c:pt>
                <c:pt idx="9">
                  <c:v>63.64</c:v>
                </c:pt>
                <c:pt idx="10">
                  <c:v>56.68</c:v>
                </c:pt>
                <c:pt idx="11">
                  <c:v>52.55</c:v>
                </c:pt>
                <c:pt idx="12">
                  <c:v>52.1</c:v>
                </c:pt>
                <c:pt idx="13">
                  <c:v>55.42</c:v>
                </c:pt>
                <c:pt idx="14">
                  <c:v>61.82</c:v>
                </c:pt>
                <c:pt idx="15">
                  <c:v>70.540000000000006</c:v>
                </c:pt>
                <c:pt idx="16">
                  <c:v>80.77</c:v>
                </c:pt>
                <c:pt idx="17">
                  <c:v>91.99</c:v>
                </c:pt>
                <c:pt idx="18">
                  <c:v>103.56</c:v>
                </c:pt>
                <c:pt idx="19">
                  <c:v>115.64</c:v>
                </c:pt>
                <c:pt idx="20">
                  <c:v>127.73</c:v>
                </c:pt>
                <c:pt idx="21">
                  <c:v>133.63</c:v>
                </c:pt>
                <c:pt idx="22">
                  <c:v>150.1</c:v>
                </c:pt>
                <c:pt idx="23">
                  <c:v>157.71</c:v>
                </c:pt>
              </c:numCache>
            </c:numRef>
          </c:yVal>
        </c:ser>
        <c:ser>
          <c:idx val="6"/>
          <c:order val="6"/>
          <c:tx>
            <c:strRef>
              <c:f>Estimator!$BI$129</c:f>
              <c:strCache>
                <c:ptCount val="1"/>
                <c:pt idx="0">
                  <c:v>AZ 41</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Estimator!$BI$130:$BI$153</c:f>
              <c:numCache>
                <c:formatCode>0.00</c:formatCode>
                <c:ptCount val="24"/>
                <c:pt idx="0">
                  <c:v>11</c:v>
                </c:pt>
                <c:pt idx="1">
                  <c:v>40.130000000000003</c:v>
                </c:pt>
                <c:pt idx="2">
                  <c:v>60.38</c:v>
                </c:pt>
                <c:pt idx="3">
                  <c:v>74.650000000000006</c:v>
                </c:pt>
                <c:pt idx="4">
                  <c:v>85.82</c:v>
                </c:pt>
                <c:pt idx="5">
                  <c:v>95.61</c:v>
                </c:pt>
                <c:pt idx="6">
                  <c:v>105.02</c:v>
                </c:pt>
                <c:pt idx="7">
                  <c:v>114.79</c:v>
                </c:pt>
                <c:pt idx="8">
                  <c:v>125.54</c:v>
                </c:pt>
                <c:pt idx="9">
                  <c:v>137.87</c:v>
                </c:pt>
                <c:pt idx="10">
                  <c:v>152.19999999999999</c:v>
                </c:pt>
                <c:pt idx="11">
                  <c:v>168.43</c:v>
                </c:pt>
                <c:pt idx="12">
                  <c:v>185.66</c:v>
                </c:pt>
                <c:pt idx="13">
                  <c:v>202.38</c:v>
                </c:pt>
                <c:pt idx="14">
                  <c:v>217.39</c:v>
                </c:pt>
                <c:pt idx="15">
                  <c:v>230.35</c:v>
                </c:pt>
                <c:pt idx="16">
                  <c:v>241.57</c:v>
                </c:pt>
                <c:pt idx="17">
                  <c:v>251.58</c:v>
                </c:pt>
                <c:pt idx="18">
                  <c:v>261.26</c:v>
                </c:pt>
                <c:pt idx="19">
                  <c:v>270.81</c:v>
                </c:pt>
                <c:pt idx="20">
                  <c:v>281.35000000000002</c:v>
                </c:pt>
                <c:pt idx="21">
                  <c:v>287.39</c:v>
                </c:pt>
                <c:pt idx="22">
                  <c:v>312.02999999999997</c:v>
                </c:pt>
                <c:pt idx="23">
                  <c:v>338</c:v>
                </c:pt>
              </c:numCache>
            </c:numRef>
          </c:yVal>
        </c:ser>
        <c:ser>
          <c:idx val="7"/>
          <c:order val="7"/>
          <c:tx>
            <c:strRef>
              <c:f>Estimator!$BJ$129</c:f>
              <c:strCache>
                <c:ptCount val="1"/>
                <c:pt idx="0">
                  <c:v>ZEN 41</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Estimator!$BJ$130:$BJ$153</c:f>
              <c:numCache>
                <c:formatCode>0.00</c:formatCode>
                <c:ptCount val="24"/>
                <c:pt idx="0">
                  <c:v>154.33000000000001</c:v>
                </c:pt>
                <c:pt idx="1">
                  <c:v>149.38999999999999</c:v>
                </c:pt>
                <c:pt idx="2">
                  <c:v>140.63</c:v>
                </c:pt>
                <c:pt idx="3">
                  <c:v>130.13999999999999</c:v>
                </c:pt>
                <c:pt idx="4">
                  <c:v>118.99</c:v>
                </c:pt>
                <c:pt idx="5">
                  <c:v>107.73</c:v>
                </c:pt>
                <c:pt idx="6">
                  <c:v>96.51</c:v>
                </c:pt>
                <c:pt idx="7">
                  <c:v>85.88</c:v>
                </c:pt>
                <c:pt idx="8">
                  <c:v>76.03</c:v>
                </c:pt>
                <c:pt idx="9">
                  <c:v>67.59</c:v>
                </c:pt>
                <c:pt idx="10">
                  <c:v>61.13</c:v>
                </c:pt>
                <c:pt idx="11">
                  <c:v>57.21</c:v>
                </c:pt>
                <c:pt idx="12">
                  <c:v>56.68</c:v>
                </c:pt>
                <c:pt idx="13">
                  <c:v>59.45</c:v>
                </c:pt>
                <c:pt idx="14">
                  <c:v>65.150000000000006</c:v>
                </c:pt>
                <c:pt idx="15">
                  <c:v>73</c:v>
                </c:pt>
                <c:pt idx="16">
                  <c:v>82.45</c:v>
                </c:pt>
                <c:pt idx="17">
                  <c:v>92.84</c:v>
                </c:pt>
                <c:pt idx="18">
                  <c:v>103.69</c:v>
                </c:pt>
                <c:pt idx="19">
                  <c:v>115.01</c:v>
                </c:pt>
                <c:pt idx="20">
                  <c:v>126.23</c:v>
                </c:pt>
                <c:pt idx="21">
                  <c:v>131.80000000000001</c:v>
                </c:pt>
                <c:pt idx="22">
                  <c:v>146.63</c:v>
                </c:pt>
                <c:pt idx="23">
                  <c:v>153.22999999999999</c:v>
                </c:pt>
              </c:numCache>
            </c:numRef>
          </c:yVal>
        </c:ser>
        <c:ser>
          <c:idx val="8"/>
          <c:order val="8"/>
          <c:tx>
            <c:strRef>
              <c:f>Estimator!$BK$129</c:f>
              <c:strCache>
                <c:ptCount val="1"/>
                <c:pt idx="0">
                  <c:v>AZ 45</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Estimator!$BK$130:$BK$153</c:f>
              <c:numCache>
                <c:formatCode>0.00</c:formatCode>
                <c:ptCount val="24"/>
                <c:pt idx="0">
                  <c:v>16.09</c:v>
                </c:pt>
                <c:pt idx="1">
                  <c:v>41.22</c:v>
                </c:pt>
                <c:pt idx="2">
                  <c:v>60.04</c:v>
                </c:pt>
                <c:pt idx="3">
                  <c:v>74.33</c:v>
                </c:pt>
                <c:pt idx="4">
                  <c:v>86.08</c:v>
                </c:pt>
                <c:pt idx="5">
                  <c:v>96.63</c:v>
                </c:pt>
                <c:pt idx="6">
                  <c:v>106.87</c:v>
                </c:pt>
                <c:pt idx="7">
                  <c:v>117.49</c:v>
                </c:pt>
                <c:pt idx="8">
                  <c:v>129.05000000000001</c:v>
                </c:pt>
                <c:pt idx="9">
                  <c:v>142.03</c:v>
                </c:pt>
                <c:pt idx="10">
                  <c:v>156.65</c:v>
                </c:pt>
                <c:pt idx="11">
                  <c:v>172.65</c:v>
                </c:pt>
                <c:pt idx="12">
                  <c:v>189.17</c:v>
                </c:pt>
                <c:pt idx="13">
                  <c:v>205.04</c:v>
                </c:pt>
                <c:pt idx="14">
                  <c:v>219.46</c:v>
                </c:pt>
                <c:pt idx="15">
                  <c:v>232.25</c:v>
                </c:pt>
                <c:pt idx="16">
                  <c:v>243.66</c:v>
                </c:pt>
                <c:pt idx="17">
                  <c:v>254.18</c:v>
                </c:pt>
                <c:pt idx="18">
                  <c:v>264.63</c:v>
                </c:pt>
                <c:pt idx="19">
                  <c:v>275.25</c:v>
                </c:pt>
                <c:pt idx="20">
                  <c:v>287.19</c:v>
                </c:pt>
                <c:pt idx="21">
                  <c:v>294.06</c:v>
                </c:pt>
                <c:pt idx="22">
                  <c:v>321.3</c:v>
                </c:pt>
                <c:pt idx="23">
                  <c:v>347.08</c:v>
                </c:pt>
              </c:numCache>
            </c:numRef>
          </c:yVal>
        </c:ser>
        <c:ser>
          <c:idx val="9"/>
          <c:order val="9"/>
          <c:tx>
            <c:strRef>
              <c:f>Estimator!$BL$129</c:f>
              <c:strCache>
                <c:ptCount val="1"/>
                <c:pt idx="0">
                  <c:v>ZEN 45</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Estimator!$BL$130:$BL$153</c:f>
              <c:numCache>
                <c:formatCode>0.00</c:formatCode>
                <c:ptCount val="24"/>
                <c:pt idx="0">
                  <c:v>149.72</c:v>
                </c:pt>
                <c:pt idx="1">
                  <c:v>144.6</c:v>
                </c:pt>
                <c:pt idx="2">
                  <c:v>136.38999999999999</c:v>
                </c:pt>
                <c:pt idx="3">
                  <c:v>126.51</c:v>
                </c:pt>
                <c:pt idx="4">
                  <c:v>116.19</c:v>
                </c:pt>
                <c:pt idx="5">
                  <c:v>105.61</c:v>
                </c:pt>
                <c:pt idx="6">
                  <c:v>95.24</c:v>
                </c:pt>
                <c:pt idx="7">
                  <c:v>85.44</c:v>
                </c:pt>
                <c:pt idx="8">
                  <c:v>76.61</c:v>
                </c:pt>
                <c:pt idx="9">
                  <c:v>69.150000000000006</c:v>
                </c:pt>
                <c:pt idx="10">
                  <c:v>63.76</c:v>
                </c:pt>
                <c:pt idx="11">
                  <c:v>60.94</c:v>
                </c:pt>
                <c:pt idx="12">
                  <c:v>61.02</c:v>
                </c:pt>
                <c:pt idx="13">
                  <c:v>64.260000000000005</c:v>
                </c:pt>
                <c:pt idx="14">
                  <c:v>69.91</c:v>
                </c:pt>
                <c:pt idx="15">
                  <c:v>77.569999999999993</c:v>
                </c:pt>
                <c:pt idx="16">
                  <c:v>86.57</c:v>
                </c:pt>
                <c:pt idx="17">
                  <c:v>96.46</c:v>
                </c:pt>
                <c:pt idx="18">
                  <c:v>106.69</c:v>
                </c:pt>
                <c:pt idx="19">
                  <c:v>117.31</c:v>
                </c:pt>
                <c:pt idx="20">
                  <c:v>127.71</c:v>
                </c:pt>
                <c:pt idx="21">
                  <c:v>132.69</c:v>
                </c:pt>
                <c:pt idx="22">
                  <c:v>145.30000000000001</c:v>
                </c:pt>
                <c:pt idx="23">
                  <c:v>149.97999999999999</c:v>
                </c:pt>
              </c:numCache>
            </c:numRef>
          </c:yVal>
        </c:ser>
        <c:ser>
          <c:idx val="10"/>
          <c:order val="10"/>
          <c:tx>
            <c:strRef>
              <c:f>Estimator!$BM$129</c:f>
              <c:strCache>
                <c:ptCount val="1"/>
                <c:pt idx="0">
                  <c:v>AZ 48</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Estimator!$BM$130:$BM$153</c:f>
              <c:numCache>
                <c:formatCode>0.00</c:formatCode>
                <c:ptCount val="24"/>
                <c:pt idx="0">
                  <c:v>4.91</c:v>
                </c:pt>
                <c:pt idx="1">
                  <c:v>30.22</c:v>
                </c:pt>
                <c:pt idx="2">
                  <c:v>50.86</c:v>
                </c:pt>
                <c:pt idx="3">
                  <c:v>66.98</c:v>
                </c:pt>
                <c:pt idx="4">
                  <c:v>80.13</c:v>
                </c:pt>
                <c:pt idx="5">
                  <c:v>91.66</c:v>
                </c:pt>
                <c:pt idx="6">
                  <c:v>102.54</c:v>
                </c:pt>
                <c:pt idx="7">
                  <c:v>113.47</c:v>
                </c:pt>
                <c:pt idx="8">
                  <c:v>125.02</c:v>
                </c:pt>
                <c:pt idx="9">
                  <c:v>137.66</c:v>
                </c:pt>
                <c:pt idx="10">
                  <c:v>151.65</c:v>
                </c:pt>
                <c:pt idx="11">
                  <c:v>166.93</c:v>
                </c:pt>
                <c:pt idx="12">
                  <c:v>182.94</c:v>
                </c:pt>
                <c:pt idx="13">
                  <c:v>198.77</c:v>
                </c:pt>
                <c:pt idx="14">
                  <c:v>213.61</c:v>
                </c:pt>
                <c:pt idx="15">
                  <c:v>227.07</c:v>
                </c:pt>
                <c:pt idx="16">
                  <c:v>239.24</c:v>
                </c:pt>
                <c:pt idx="17">
                  <c:v>250.49</c:v>
                </c:pt>
                <c:pt idx="18">
                  <c:v>261.52</c:v>
                </c:pt>
                <c:pt idx="19">
                  <c:v>272.54000000000002</c:v>
                </c:pt>
                <c:pt idx="20">
                  <c:v>284.52</c:v>
                </c:pt>
                <c:pt idx="21">
                  <c:v>291.2</c:v>
                </c:pt>
                <c:pt idx="22">
                  <c:v>316.14</c:v>
                </c:pt>
                <c:pt idx="23">
                  <c:v>338.62</c:v>
                </c:pt>
              </c:numCache>
            </c:numRef>
          </c:yVal>
        </c:ser>
        <c:ser>
          <c:idx val="11"/>
          <c:order val="11"/>
          <c:tx>
            <c:strRef>
              <c:f>Estimator!$BN$129</c:f>
              <c:strCache>
                <c:ptCount val="1"/>
                <c:pt idx="0">
                  <c:v>ZEN 48</c:v>
                </c:pt>
              </c:strCache>
            </c:strRef>
          </c:tx>
          <c:marker>
            <c:symbol val="none"/>
          </c:marker>
          <c:xVal>
            <c:numRef>
              <c:f>Estimator!$BB$130:$BB$153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Estimator!$BN$130:$BN$153</c:f>
              <c:numCache>
                <c:formatCode>0.00</c:formatCode>
                <c:ptCount val="24"/>
                <c:pt idx="0">
                  <c:v>147.35</c:v>
                </c:pt>
                <c:pt idx="1">
                  <c:v>144.32</c:v>
                </c:pt>
                <c:pt idx="2">
                  <c:v>137.71</c:v>
                </c:pt>
                <c:pt idx="3">
                  <c:v>129.19999999999999</c:v>
                </c:pt>
                <c:pt idx="4">
                  <c:v>119.66</c:v>
                </c:pt>
                <c:pt idx="5">
                  <c:v>109.66</c:v>
                </c:pt>
                <c:pt idx="6">
                  <c:v>99.76</c:v>
                </c:pt>
                <c:pt idx="7">
                  <c:v>90.14</c:v>
                </c:pt>
                <c:pt idx="8">
                  <c:v>81.52</c:v>
                </c:pt>
                <c:pt idx="9">
                  <c:v>74.010000000000005</c:v>
                </c:pt>
                <c:pt idx="10">
                  <c:v>68.260000000000005</c:v>
                </c:pt>
                <c:pt idx="11">
                  <c:v>64.709999999999994</c:v>
                </c:pt>
                <c:pt idx="12">
                  <c:v>63.81</c:v>
                </c:pt>
                <c:pt idx="13">
                  <c:v>65.760000000000005</c:v>
                </c:pt>
                <c:pt idx="14">
                  <c:v>70.08</c:v>
                </c:pt>
                <c:pt idx="15">
                  <c:v>76.66</c:v>
                </c:pt>
                <c:pt idx="16">
                  <c:v>84.71</c:v>
                </c:pt>
                <c:pt idx="17">
                  <c:v>93.76</c:v>
                </c:pt>
                <c:pt idx="18">
                  <c:v>103.24</c:v>
                </c:pt>
                <c:pt idx="19">
                  <c:v>113.26</c:v>
                </c:pt>
                <c:pt idx="20">
                  <c:v>123.16</c:v>
                </c:pt>
                <c:pt idx="21">
                  <c:v>127.93</c:v>
                </c:pt>
                <c:pt idx="22">
                  <c:v>140.49</c:v>
                </c:pt>
                <c:pt idx="23">
                  <c:v>145.86000000000001</c:v>
                </c:pt>
              </c:numCache>
            </c:numRef>
          </c:yVal>
        </c:ser>
        <c:axId val="165158272"/>
        <c:axId val="165172736"/>
      </c:scatterChart>
      <c:valAx>
        <c:axId val="165158272"/>
        <c:scaling>
          <c:orientation val="minMax"/>
        </c:scaling>
        <c:axPos val="b"/>
        <c:title/>
        <c:numFmt formatCode="General" sourceLinked="1"/>
        <c:majorTickMark val="none"/>
        <c:tickLblPos val="nextTo"/>
        <c:crossAx val="165172736"/>
        <c:crosses val="autoZero"/>
        <c:crossBetween val="midCat"/>
      </c:valAx>
      <c:valAx>
        <c:axId val="165172736"/>
        <c:scaling>
          <c:orientation val="minMax"/>
        </c:scaling>
        <c:axPos val="l"/>
        <c:majorGridlines/>
        <c:title/>
        <c:numFmt formatCode="0.00" sourceLinked="1"/>
        <c:majorTickMark val="none"/>
        <c:tickLblPos val="nextTo"/>
        <c:crossAx val="165158272"/>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Winter,</a:t>
            </a:r>
            <a:r>
              <a:rPr lang="en-US" baseline="0"/>
              <a:t> Mountain</a:t>
            </a:r>
            <a:endParaRPr lang="en-US"/>
          </a:p>
        </c:rich>
      </c:tx>
    </c:title>
    <c:plotArea>
      <c:layout/>
      <c:scatterChart>
        <c:scatterStyle val="lineMarker"/>
        <c:ser>
          <c:idx val="0"/>
          <c:order val="0"/>
          <c:tx>
            <c:strRef>
              <c:f>Estimator!$BP$39</c:f>
              <c:strCache>
                <c:ptCount val="1"/>
                <c:pt idx="0">
                  <c:v>AZ 32</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Estimator!$BP$40:$BP$63</c:f>
              <c:numCache>
                <c:formatCode>0.00</c:formatCode>
                <c:ptCount val="24"/>
                <c:pt idx="0">
                  <c:v>353.44</c:v>
                </c:pt>
                <c:pt idx="1">
                  <c:v>39.950000000000003</c:v>
                </c:pt>
                <c:pt idx="2">
                  <c:v>64.760000000000005</c:v>
                </c:pt>
                <c:pt idx="3">
                  <c:v>78.31</c:v>
                </c:pt>
                <c:pt idx="4">
                  <c:v>87.7</c:v>
                </c:pt>
                <c:pt idx="5">
                  <c:v>95.52</c:v>
                </c:pt>
                <c:pt idx="6">
                  <c:v>102.94</c:v>
                </c:pt>
                <c:pt idx="7">
                  <c:v>110.69</c:v>
                </c:pt>
                <c:pt idx="8">
                  <c:v>119.45</c:v>
                </c:pt>
                <c:pt idx="9">
                  <c:v>129.91999999999999</c:v>
                </c:pt>
                <c:pt idx="10">
                  <c:v>142.91999999999999</c:v>
                </c:pt>
                <c:pt idx="11">
                  <c:v>158.99</c:v>
                </c:pt>
                <c:pt idx="12">
                  <c:v>177.58</c:v>
                </c:pt>
                <c:pt idx="13">
                  <c:v>196.52</c:v>
                </c:pt>
                <c:pt idx="14">
                  <c:v>213.36</c:v>
                </c:pt>
                <c:pt idx="15">
                  <c:v>227.13</c:v>
                </c:pt>
                <c:pt idx="16">
                  <c:v>238.19</c:v>
                </c:pt>
                <c:pt idx="17">
                  <c:v>247.1</c:v>
                </c:pt>
                <c:pt idx="18">
                  <c:v>255.05</c:v>
                </c:pt>
                <c:pt idx="19">
                  <c:v>262.5</c:v>
                </c:pt>
                <c:pt idx="20">
                  <c:v>270.14999999999998</c:v>
                </c:pt>
                <c:pt idx="21">
                  <c:v>274.33</c:v>
                </c:pt>
                <c:pt idx="22">
                  <c:v>291.13</c:v>
                </c:pt>
                <c:pt idx="23">
                  <c:v>312.04000000000002</c:v>
                </c:pt>
              </c:numCache>
            </c:numRef>
          </c:yVal>
        </c:ser>
        <c:ser>
          <c:idx val="1"/>
          <c:order val="1"/>
          <c:tx>
            <c:strRef>
              <c:f>Estimator!$BQ$39</c:f>
              <c:strCache>
                <c:ptCount val="1"/>
                <c:pt idx="0">
                  <c:v>ZEN 32</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Estimator!$BQ$40:$BQ$63</c:f>
              <c:numCache>
                <c:formatCode>0.00</c:formatCode>
                <c:ptCount val="24"/>
                <c:pt idx="0">
                  <c:v>164.07</c:v>
                </c:pt>
                <c:pt idx="1">
                  <c:v>160.16</c:v>
                </c:pt>
                <c:pt idx="2">
                  <c:v>149.99</c:v>
                </c:pt>
                <c:pt idx="3">
                  <c:v>137.93</c:v>
                </c:pt>
                <c:pt idx="4">
                  <c:v>125.31</c:v>
                </c:pt>
                <c:pt idx="5">
                  <c:v>112.71</c:v>
                </c:pt>
                <c:pt idx="6">
                  <c:v>100.15</c:v>
                </c:pt>
                <c:pt idx="7">
                  <c:v>88.09</c:v>
                </c:pt>
                <c:pt idx="8">
                  <c:v>76.489999999999995</c:v>
                </c:pt>
                <c:pt idx="9">
                  <c:v>66.040000000000006</c:v>
                </c:pt>
                <c:pt idx="10">
                  <c:v>57.44</c:v>
                </c:pt>
                <c:pt idx="11">
                  <c:v>51.06</c:v>
                </c:pt>
                <c:pt idx="12">
                  <c:v>48.47</c:v>
                </c:pt>
                <c:pt idx="13">
                  <c:v>50.01</c:v>
                </c:pt>
                <c:pt idx="14">
                  <c:v>55.35</c:v>
                </c:pt>
                <c:pt idx="15">
                  <c:v>63.6</c:v>
                </c:pt>
                <c:pt idx="16">
                  <c:v>73.680000000000007</c:v>
                </c:pt>
                <c:pt idx="17">
                  <c:v>85.14</c:v>
                </c:pt>
                <c:pt idx="18">
                  <c:v>97.13</c:v>
                </c:pt>
                <c:pt idx="19">
                  <c:v>108.63</c:v>
                </c:pt>
                <c:pt idx="20">
                  <c:v>122.22</c:v>
                </c:pt>
                <c:pt idx="21">
                  <c:v>128.53</c:v>
                </c:pt>
                <c:pt idx="22">
                  <c:v>147.15</c:v>
                </c:pt>
                <c:pt idx="23">
                  <c:v>157.96</c:v>
                </c:pt>
              </c:numCache>
            </c:numRef>
          </c:yVal>
        </c:ser>
        <c:ser>
          <c:idx val="2"/>
          <c:order val="2"/>
          <c:tx>
            <c:strRef>
              <c:f>Estimator!$BR$39</c:f>
              <c:strCache>
                <c:ptCount val="1"/>
                <c:pt idx="0">
                  <c:v>AZ 36</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Estimator!$BR$40:$BR$63</c:f>
              <c:numCache>
                <c:formatCode>0.00</c:formatCode>
                <c:ptCount val="24"/>
                <c:pt idx="0">
                  <c:v>8.9600000000000009</c:v>
                </c:pt>
                <c:pt idx="1">
                  <c:v>44.52</c:v>
                </c:pt>
                <c:pt idx="2">
                  <c:v>65.36</c:v>
                </c:pt>
                <c:pt idx="3">
                  <c:v>78.489999999999995</c:v>
                </c:pt>
                <c:pt idx="4">
                  <c:v>88.32</c:v>
                </c:pt>
                <c:pt idx="5">
                  <c:v>96.83</c:v>
                </c:pt>
                <c:pt idx="6">
                  <c:v>105.07</c:v>
                </c:pt>
                <c:pt idx="7">
                  <c:v>113.75</c:v>
                </c:pt>
                <c:pt idx="8">
                  <c:v>123.54</c:v>
                </c:pt>
                <c:pt idx="9">
                  <c:v>135.12</c:v>
                </c:pt>
                <c:pt idx="10">
                  <c:v>149.12</c:v>
                </c:pt>
                <c:pt idx="11">
                  <c:v>165.66</c:v>
                </c:pt>
                <c:pt idx="12">
                  <c:v>183.77</c:v>
                </c:pt>
                <c:pt idx="13">
                  <c:v>201.46</c:v>
                </c:pt>
                <c:pt idx="14">
                  <c:v>217.01</c:v>
                </c:pt>
                <c:pt idx="15">
                  <c:v>229.98</c:v>
                </c:pt>
                <c:pt idx="16">
                  <c:v>240.76</c:v>
                </c:pt>
                <c:pt idx="17">
                  <c:v>249.81</c:v>
                </c:pt>
                <c:pt idx="18">
                  <c:v>258.24</c:v>
                </c:pt>
                <c:pt idx="19">
                  <c:v>266.51</c:v>
                </c:pt>
                <c:pt idx="20">
                  <c:v>275.42</c:v>
                </c:pt>
                <c:pt idx="21">
                  <c:v>280.49</c:v>
                </c:pt>
                <c:pt idx="22">
                  <c:v>301.89</c:v>
                </c:pt>
                <c:pt idx="23">
                  <c:v>328.18</c:v>
                </c:pt>
              </c:numCache>
            </c:numRef>
          </c:yVal>
        </c:ser>
        <c:ser>
          <c:idx val="3"/>
          <c:order val="3"/>
          <c:tx>
            <c:strRef>
              <c:f>Estimator!$BS$39</c:f>
              <c:strCache>
                <c:ptCount val="1"/>
                <c:pt idx="0">
                  <c:v>ZEN 36</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Estimator!$BS$40:$BS$63</c:f>
              <c:numCache>
                <c:formatCode>0.00</c:formatCode>
                <c:ptCount val="24"/>
                <c:pt idx="0">
                  <c:v>160.49</c:v>
                </c:pt>
                <c:pt idx="1">
                  <c:v>154.83000000000001</c:v>
                </c:pt>
                <c:pt idx="2">
                  <c:v>144.69999999999999</c:v>
                </c:pt>
                <c:pt idx="3">
                  <c:v>133.18</c:v>
                </c:pt>
                <c:pt idx="4">
                  <c:v>121.1</c:v>
                </c:pt>
                <c:pt idx="5">
                  <c:v>108.91</c:v>
                </c:pt>
                <c:pt idx="6">
                  <c:v>96.99</c:v>
                </c:pt>
                <c:pt idx="7">
                  <c:v>85.17</c:v>
                </c:pt>
                <c:pt idx="8">
                  <c:v>74.83</c:v>
                </c:pt>
                <c:pt idx="9">
                  <c:v>65.31</c:v>
                </c:pt>
                <c:pt idx="10">
                  <c:v>57.86</c:v>
                </c:pt>
                <c:pt idx="11">
                  <c:v>53.1</c:v>
                </c:pt>
                <c:pt idx="12">
                  <c:v>51.9</c:v>
                </c:pt>
                <c:pt idx="13">
                  <c:v>54.64</c:v>
                </c:pt>
                <c:pt idx="14">
                  <c:v>60.61</c:v>
                </c:pt>
                <c:pt idx="15">
                  <c:v>68.98</c:v>
                </c:pt>
                <c:pt idx="16">
                  <c:v>78.989999999999995</c:v>
                </c:pt>
                <c:pt idx="17">
                  <c:v>90.35</c:v>
                </c:pt>
                <c:pt idx="18">
                  <c:v>101.96</c:v>
                </c:pt>
                <c:pt idx="19">
                  <c:v>114.12</c:v>
                </c:pt>
                <c:pt idx="20">
                  <c:v>127.58</c:v>
                </c:pt>
                <c:pt idx="21">
                  <c:v>132.02000000000001</c:v>
                </c:pt>
                <c:pt idx="22">
                  <c:v>149.27000000000001</c:v>
                </c:pt>
                <c:pt idx="23">
                  <c:v>157.96</c:v>
                </c:pt>
              </c:numCache>
            </c:numRef>
          </c:yVal>
        </c:ser>
        <c:ser>
          <c:idx val="4"/>
          <c:order val="4"/>
          <c:tx>
            <c:strRef>
              <c:f>Estimator!$BT$39</c:f>
              <c:strCache>
                <c:ptCount val="1"/>
                <c:pt idx="0">
                  <c:v>AZ 39</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Estimator!$BT$40:$BT$63</c:f>
              <c:numCache>
                <c:formatCode>0.00</c:formatCode>
                <c:ptCount val="24"/>
                <c:pt idx="0">
                  <c:v>1.2</c:v>
                </c:pt>
                <c:pt idx="1">
                  <c:v>35.090000000000003</c:v>
                </c:pt>
                <c:pt idx="2">
                  <c:v>58.09</c:v>
                </c:pt>
                <c:pt idx="3">
                  <c:v>73.239999999999995</c:v>
                </c:pt>
                <c:pt idx="4">
                  <c:v>84.51</c:v>
                </c:pt>
                <c:pt idx="5">
                  <c:v>94.07</c:v>
                </c:pt>
                <c:pt idx="6">
                  <c:v>103.06</c:v>
                </c:pt>
                <c:pt idx="7">
                  <c:v>112.27</c:v>
                </c:pt>
                <c:pt idx="8">
                  <c:v>122.36</c:v>
                </c:pt>
                <c:pt idx="9">
                  <c:v>133.93</c:v>
                </c:pt>
                <c:pt idx="10">
                  <c:v>147.53</c:v>
                </c:pt>
                <c:pt idx="11">
                  <c:v>163.30000000000001</c:v>
                </c:pt>
                <c:pt idx="12">
                  <c:v>180.55</c:v>
                </c:pt>
                <c:pt idx="13">
                  <c:v>197.76</c:v>
                </c:pt>
                <c:pt idx="14">
                  <c:v>213.42</c:v>
                </c:pt>
                <c:pt idx="15">
                  <c:v>226.9</c:v>
                </c:pt>
                <c:pt idx="16">
                  <c:v>238.38</c:v>
                </c:pt>
                <c:pt idx="17">
                  <c:v>248.21</c:v>
                </c:pt>
                <c:pt idx="18">
                  <c:v>257.39999999999998</c:v>
                </c:pt>
                <c:pt idx="19">
                  <c:v>266.42</c:v>
                </c:pt>
                <c:pt idx="20">
                  <c:v>276.05</c:v>
                </c:pt>
                <c:pt idx="21">
                  <c:v>281.45</c:v>
                </c:pt>
                <c:pt idx="22">
                  <c:v>303.05</c:v>
                </c:pt>
                <c:pt idx="23">
                  <c:v>326.76</c:v>
                </c:pt>
              </c:numCache>
            </c:numRef>
          </c:yVal>
        </c:ser>
        <c:ser>
          <c:idx val="5"/>
          <c:order val="5"/>
          <c:tx>
            <c:strRef>
              <c:f>Estimator!$BU$39</c:f>
              <c:strCache>
                <c:ptCount val="1"/>
                <c:pt idx="0">
                  <c:v>ZEN 39</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Estimator!$BU$40:$BU$63</c:f>
              <c:numCache>
                <c:formatCode>0.00</c:formatCode>
                <c:ptCount val="24"/>
                <c:pt idx="0">
                  <c:v>157.24</c:v>
                </c:pt>
                <c:pt idx="1">
                  <c:v>153.81</c:v>
                </c:pt>
                <c:pt idx="2">
                  <c:v>144.72</c:v>
                </c:pt>
                <c:pt idx="3">
                  <c:v>134.4</c:v>
                </c:pt>
                <c:pt idx="4">
                  <c:v>122.91</c:v>
                </c:pt>
                <c:pt idx="5">
                  <c:v>111.33</c:v>
                </c:pt>
                <c:pt idx="6">
                  <c:v>99.65</c:v>
                </c:pt>
                <c:pt idx="7">
                  <c:v>88.73</c:v>
                </c:pt>
                <c:pt idx="8">
                  <c:v>78.36</c:v>
                </c:pt>
                <c:pt idx="9">
                  <c:v>69.209999999999994</c:v>
                </c:pt>
                <c:pt idx="10">
                  <c:v>61.82</c:v>
                </c:pt>
                <c:pt idx="11">
                  <c:v>56.96</c:v>
                </c:pt>
                <c:pt idx="12">
                  <c:v>55.3</c:v>
                </c:pt>
                <c:pt idx="13">
                  <c:v>57.13</c:v>
                </c:pt>
                <c:pt idx="14">
                  <c:v>62.16</c:v>
                </c:pt>
                <c:pt idx="15">
                  <c:v>69.94</c:v>
                </c:pt>
                <c:pt idx="16">
                  <c:v>78.930000000000007</c:v>
                </c:pt>
                <c:pt idx="17">
                  <c:v>89.51</c:v>
                </c:pt>
                <c:pt idx="18">
                  <c:v>100.71</c:v>
                </c:pt>
                <c:pt idx="19">
                  <c:v>112.9</c:v>
                </c:pt>
                <c:pt idx="20">
                  <c:v>123.77</c:v>
                </c:pt>
                <c:pt idx="21">
                  <c:v>129.54</c:v>
                </c:pt>
                <c:pt idx="22">
                  <c:v>145.69999999999999</c:v>
                </c:pt>
                <c:pt idx="23">
                  <c:v>154.02000000000001</c:v>
                </c:pt>
              </c:numCache>
            </c:numRef>
          </c:yVal>
        </c:ser>
        <c:ser>
          <c:idx val="6"/>
          <c:order val="6"/>
          <c:tx>
            <c:strRef>
              <c:f>Estimator!$BV$39</c:f>
              <c:strCache>
                <c:ptCount val="1"/>
                <c:pt idx="0">
                  <c:v>AZ 43</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Estimator!$BV$40:$BV$63</c:f>
              <c:numCache>
                <c:formatCode>0.00</c:formatCode>
                <c:ptCount val="24"/>
                <c:pt idx="0">
                  <c:v>0.68</c:v>
                </c:pt>
                <c:pt idx="1">
                  <c:v>30.94</c:v>
                </c:pt>
                <c:pt idx="2">
                  <c:v>53.61</c:v>
                </c:pt>
                <c:pt idx="3">
                  <c:v>69.67</c:v>
                </c:pt>
                <c:pt idx="4">
                  <c:v>81.99</c:v>
                </c:pt>
                <c:pt idx="5">
                  <c:v>92.48</c:v>
                </c:pt>
                <c:pt idx="6">
                  <c:v>102.29</c:v>
                </c:pt>
                <c:pt idx="7">
                  <c:v>112.19</c:v>
                </c:pt>
                <c:pt idx="8">
                  <c:v>122.83</c:v>
                </c:pt>
                <c:pt idx="9">
                  <c:v>134.74</c:v>
                </c:pt>
                <c:pt idx="10">
                  <c:v>148.36000000000001</c:v>
                </c:pt>
                <c:pt idx="11">
                  <c:v>163.76</c:v>
                </c:pt>
                <c:pt idx="12">
                  <c:v>180.34</c:v>
                </c:pt>
                <c:pt idx="13">
                  <c:v>196.9</c:v>
                </c:pt>
                <c:pt idx="14">
                  <c:v>212.25</c:v>
                </c:pt>
                <c:pt idx="15">
                  <c:v>225.82</c:v>
                </c:pt>
                <c:pt idx="16">
                  <c:v>237.69</c:v>
                </c:pt>
                <c:pt idx="17">
                  <c:v>248.11</c:v>
                </c:pt>
                <c:pt idx="18">
                  <c:v>258.01</c:v>
                </c:pt>
                <c:pt idx="19">
                  <c:v>267.83999999999997</c:v>
                </c:pt>
                <c:pt idx="20">
                  <c:v>278.39</c:v>
                </c:pt>
                <c:pt idx="21">
                  <c:v>284.27999999999997</c:v>
                </c:pt>
                <c:pt idx="22">
                  <c:v>307.14999999999998</c:v>
                </c:pt>
                <c:pt idx="23">
                  <c:v>330.19</c:v>
                </c:pt>
              </c:numCache>
            </c:numRef>
          </c:yVal>
        </c:ser>
        <c:ser>
          <c:idx val="7"/>
          <c:order val="7"/>
          <c:tx>
            <c:strRef>
              <c:f>Estimator!$BW$39</c:f>
              <c:strCache>
                <c:ptCount val="1"/>
                <c:pt idx="0">
                  <c:v>ZEN 43</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Estimator!$BW$40:$BW$63</c:f>
              <c:numCache>
                <c:formatCode>0.00</c:formatCode>
                <c:ptCount val="24"/>
                <c:pt idx="0">
                  <c:v>153.51</c:v>
                </c:pt>
                <c:pt idx="1">
                  <c:v>150.52000000000001</c:v>
                </c:pt>
                <c:pt idx="2">
                  <c:v>143</c:v>
                </c:pt>
                <c:pt idx="3">
                  <c:v>133.29</c:v>
                </c:pt>
                <c:pt idx="4">
                  <c:v>122.66</c:v>
                </c:pt>
                <c:pt idx="5">
                  <c:v>111.67</c:v>
                </c:pt>
                <c:pt idx="6">
                  <c:v>100.76</c:v>
                </c:pt>
                <c:pt idx="7">
                  <c:v>90.35</c:v>
                </c:pt>
                <c:pt idx="8">
                  <c:v>80.28</c:v>
                </c:pt>
                <c:pt idx="9">
                  <c:v>71.94</c:v>
                </c:pt>
                <c:pt idx="10">
                  <c:v>64.930000000000007</c:v>
                </c:pt>
                <c:pt idx="11">
                  <c:v>60.35</c:v>
                </c:pt>
                <c:pt idx="12">
                  <c:v>59.07</c:v>
                </c:pt>
                <c:pt idx="13">
                  <c:v>60.66</c:v>
                </c:pt>
                <c:pt idx="14">
                  <c:v>65.260000000000005</c:v>
                </c:pt>
                <c:pt idx="15">
                  <c:v>72.16</c:v>
                </c:pt>
                <c:pt idx="16">
                  <c:v>80.83</c:v>
                </c:pt>
                <c:pt idx="17">
                  <c:v>90.85</c:v>
                </c:pt>
                <c:pt idx="18">
                  <c:v>101.31</c:v>
                </c:pt>
                <c:pt idx="19">
                  <c:v>112.27</c:v>
                </c:pt>
                <c:pt idx="20">
                  <c:v>123.16</c:v>
                </c:pt>
                <c:pt idx="21">
                  <c:v>128.53</c:v>
                </c:pt>
                <c:pt idx="22">
                  <c:v>143.47</c:v>
                </c:pt>
                <c:pt idx="23">
                  <c:v>150.69999999999999</c:v>
                </c:pt>
              </c:numCache>
            </c:numRef>
          </c:yVal>
        </c:ser>
        <c:ser>
          <c:idx val="8"/>
          <c:order val="8"/>
          <c:tx>
            <c:strRef>
              <c:f>Estimator!$BX$39</c:f>
              <c:strCache>
                <c:ptCount val="1"/>
                <c:pt idx="0">
                  <c:v>AZ 47</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Estimator!$BX$40:$BX$63</c:f>
              <c:numCache>
                <c:formatCode>0.00</c:formatCode>
                <c:ptCount val="24"/>
                <c:pt idx="0">
                  <c:v>355.81</c:v>
                </c:pt>
                <c:pt idx="1">
                  <c:v>22.93</c:v>
                </c:pt>
                <c:pt idx="2">
                  <c:v>45.67</c:v>
                </c:pt>
                <c:pt idx="3">
                  <c:v>63.13</c:v>
                </c:pt>
                <c:pt idx="4">
                  <c:v>76.95</c:v>
                </c:pt>
                <c:pt idx="5">
                  <c:v>88.71</c:v>
                </c:pt>
                <c:pt idx="6">
                  <c:v>99.55</c:v>
                </c:pt>
                <c:pt idx="7">
                  <c:v>110.24</c:v>
                </c:pt>
                <c:pt idx="8">
                  <c:v>121.39</c:v>
                </c:pt>
                <c:pt idx="9">
                  <c:v>133.5</c:v>
                </c:pt>
                <c:pt idx="10">
                  <c:v>146.93</c:v>
                </c:pt>
                <c:pt idx="11">
                  <c:v>161.75</c:v>
                </c:pt>
                <c:pt idx="12">
                  <c:v>177.56</c:v>
                </c:pt>
                <c:pt idx="13">
                  <c:v>193.53</c:v>
                </c:pt>
                <c:pt idx="14">
                  <c:v>208.73</c:v>
                </c:pt>
                <c:pt idx="15">
                  <c:v>222.61</c:v>
                </c:pt>
                <c:pt idx="16">
                  <c:v>235.12</c:v>
                </c:pt>
                <c:pt idx="17">
                  <c:v>246.36</c:v>
                </c:pt>
                <c:pt idx="18">
                  <c:v>257.14</c:v>
                </c:pt>
                <c:pt idx="19">
                  <c:v>267.87</c:v>
                </c:pt>
                <c:pt idx="20">
                  <c:v>279.27</c:v>
                </c:pt>
                <c:pt idx="21">
                  <c:v>285.51</c:v>
                </c:pt>
                <c:pt idx="22">
                  <c:v>308.52999999999997</c:v>
                </c:pt>
                <c:pt idx="23">
                  <c:v>329.6</c:v>
                </c:pt>
              </c:numCache>
            </c:numRef>
          </c:yVal>
        </c:ser>
        <c:ser>
          <c:idx val="9"/>
          <c:order val="9"/>
          <c:tx>
            <c:strRef>
              <c:f>Estimator!$BY$39</c:f>
              <c:strCache>
                <c:ptCount val="1"/>
                <c:pt idx="0">
                  <c:v>ZEN 47</c:v>
                </c:pt>
              </c:strCache>
            </c:strRef>
          </c:tx>
          <c:marker>
            <c:symbol val="none"/>
          </c:marker>
          <c:xVal>
            <c:numRef>
              <c:f>Estimator!$BO$40:$BO$63</c:f>
              <c:numCache>
                <c:formatCode>General</c:formatCode>
                <c:ptCount val="24"/>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numCache>
            </c:numRef>
          </c:xVal>
          <c:yVal>
            <c:numRef>
              <c:f>Estimator!$BY$40:$BY$63</c:f>
              <c:numCache>
                <c:formatCode>0.00</c:formatCode>
                <c:ptCount val="24"/>
                <c:pt idx="0">
                  <c:v>148.78</c:v>
                </c:pt>
                <c:pt idx="1">
                  <c:v>147.13</c:v>
                </c:pt>
                <c:pt idx="2">
                  <c:v>141.34</c:v>
                </c:pt>
                <c:pt idx="3">
                  <c:v>133.13999999999999</c:v>
                </c:pt>
                <c:pt idx="4">
                  <c:v>123.63</c:v>
                </c:pt>
                <c:pt idx="5">
                  <c:v>113.54</c:v>
                </c:pt>
                <c:pt idx="6">
                  <c:v>103.43</c:v>
                </c:pt>
                <c:pt idx="7">
                  <c:v>93.63</c:v>
                </c:pt>
                <c:pt idx="8">
                  <c:v>84.53</c:v>
                </c:pt>
                <c:pt idx="9">
                  <c:v>76.489999999999995</c:v>
                </c:pt>
                <c:pt idx="10">
                  <c:v>69.98</c:v>
                </c:pt>
                <c:pt idx="11">
                  <c:v>65.59</c:v>
                </c:pt>
                <c:pt idx="12">
                  <c:v>63.77</c:v>
                </c:pt>
                <c:pt idx="13">
                  <c:v>64.709999999999994</c:v>
                </c:pt>
                <c:pt idx="14">
                  <c:v>68.37</c:v>
                </c:pt>
                <c:pt idx="15">
                  <c:v>74.22</c:v>
                </c:pt>
                <c:pt idx="16">
                  <c:v>81.87</c:v>
                </c:pt>
                <c:pt idx="17">
                  <c:v>90.98</c:v>
                </c:pt>
                <c:pt idx="18">
                  <c:v>100.51</c:v>
                </c:pt>
                <c:pt idx="19">
                  <c:v>110.58</c:v>
                </c:pt>
                <c:pt idx="20">
                  <c:v>120.66</c:v>
                </c:pt>
                <c:pt idx="21">
                  <c:v>125.6</c:v>
                </c:pt>
                <c:pt idx="22">
                  <c:v>138.91999999999999</c:v>
                </c:pt>
                <c:pt idx="23">
                  <c:v>145.75</c:v>
                </c:pt>
              </c:numCache>
            </c:numRef>
          </c:yVal>
        </c:ser>
        <c:axId val="165313152"/>
        <c:axId val="165323520"/>
      </c:scatterChart>
      <c:valAx>
        <c:axId val="165313152"/>
        <c:scaling>
          <c:orientation val="minMax"/>
        </c:scaling>
        <c:axPos val="b"/>
        <c:title/>
        <c:numFmt formatCode="General" sourceLinked="1"/>
        <c:majorTickMark val="none"/>
        <c:tickLblPos val="nextTo"/>
        <c:crossAx val="165323520"/>
        <c:crosses val="autoZero"/>
        <c:crossBetween val="midCat"/>
      </c:valAx>
      <c:valAx>
        <c:axId val="165323520"/>
        <c:scaling>
          <c:orientation val="minMax"/>
        </c:scaling>
        <c:axPos val="l"/>
        <c:majorGridlines/>
        <c:title/>
        <c:numFmt formatCode="0.00" sourceLinked="1"/>
        <c:majorTickMark val="none"/>
        <c:tickLblPos val="nextTo"/>
        <c:crossAx val="165313152"/>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41</xdr:col>
      <xdr:colOff>552450</xdr:colOff>
      <xdr:row>41</xdr:row>
      <xdr:rowOff>19050</xdr:rowOff>
    </xdr:from>
    <xdr:to>
      <xdr:col>49</xdr:col>
      <xdr:colOff>247650</xdr:colOff>
      <xdr:row>55</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495300</xdr:colOff>
      <xdr:row>71</xdr:row>
      <xdr:rowOff>114300</xdr:rowOff>
    </xdr:from>
    <xdr:to>
      <xdr:col>50</xdr:col>
      <xdr:colOff>190500</xdr:colOff>
      <xdr:row>86</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581025</xdr:colOff>
      <xdr:row>104</xdr:row>
      <xdr:rowOff>19050</xdr:rowOff>
    </xdr:from>
    <xdr:to>
      <xdr:col>50</xdr:col>
      <xdr:colOff>276225</xdr:colOff>
      <xdr:row>118</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42</xdr:col>
      <xdr:colOff>323850</xdr:colOff>
      <xdr:row>132</xdr:row>
      <xdr:rowOff>47625</xdr:rowOff>
    </xdr:from>
    <xdr:to>
      <xdr:col>50</xdr:col>
      <xdr:colOff>19050</xdr:colOff>
      <xdr:row>146</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542925</xdr:colOff>
      <xdr:row>41</xdr:row>
      <xdr:rowOff>28575</xdr:rowOff>
    </xdr:from>
    <xdr:to>
      <xdr:col>62</xdr:col>
      <xdr:colOff>238125</xdr:colOff>
      <xdr:row>55</xdr:row>
      <xdr:rowOff>104775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56</xdr:col>
      <xdr:colOff>304800</xdr:colOff>
      <xdr:row>71</xdr:row>
      <xdr:rowOff>85725</xdr:rowOff>
    </xdr:from>
    <xdr:to>
      <xdr:col>64</xdr:col>
      <xdr:colOff>0</xdr:colOff>
      <xdr:row>85</xdr:row>
      <xdr:rowOff>161925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55</xdr:col>
      <xdr:colOff>180975</xdr:colOff>
      <xdr:row>102</xdr:row>
      <xdr:rowOff>9525</xdr:rowOff>
    </xdr:from>
    <xdr:to>
      <xdr:col>62</xdr:col>
      <xdr:colOff>485775</xdr:colOff>
      <xdr:row>116</xdr:row>
      <xdr:rowOff>85725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55</xdr:col>
      <xdr:colOff>581025</xdr:colOff>
      <xdr:row>134</xdr:row>
      <xdr:rowOff>76200</xdr:rowOff>
    </xdr:from>
    <xdr:to>
      <xdr:col>63</xdr:col>
      <xdr:colOff>276225</xdr:colOff>
      <xdr:row>148</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67</xdr:col>
      <xdr:colOff>381000</xdr:colOff>
      <xdr:row>41</xdr:row>
      <xdr:rowOff>28575</xdr:rowOff>
    </xdr:from>
    <xdr:to>
      <xdr:col>75</xdr:col>
      <xdr:colOff>76200</xdr:colOff>
      <xdr:row>55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67</xdr:col>
      <xdr:colOff>600075</xdr:colOff>
      <xdr:row>71</xdr:row>
      <xdr:rowOff>57150</xdr:rowOff>
    </xdr:from>
    <xdr:to>
      <xdr:col>75</xdr:col>
      <xdr:colOff>295275</xdr:colOff>
      <xdr:row>85</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67</xdr:col>
      <xdr:colOff>485775</xdr:colOff>
      <xdr:row>104</xdr:row>
      <xdr:rowOff>0</xdr:rowOff>
    </xdr:from>
    <xdr:to>
      <xdr:col>75</xdr:col>
      <xdr:colOff>180975</xdr:colOff>
      <xdr:row>118</xdr:row>
      <xdr:rowOff>76200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68</xdr:col>
      <xdr:colOff>76200</xdr:colOff>
      <xdr:row>132</xdr:row>
      <xdr:rowOff>66675</xdr:rowOff>
    </xdr:from>
    <xdr:to>
      <xdr:col>75</xdr:col>
      <xdr:colOff>381000</xdr:colOff>
      <xdr:row>146</xdr:row>
      <xdr:rowOff>142875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79</xdr:col>
      <xdr:colOff>66675</xdr:colOff>
      <xdr:row>43</xdr:row>
      <xdr:rowOff>19050</xdr:rowOff>
    </xdr:from>
    <xdr:to>
      <xdr:col>86</xdr:col>
      <xdr:colOff>371475</xdr:colOff>
      <xdr:row>57</xdr:row>
      <xdr:rowOff>95250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79</xdr:col>
      <xdr:colOff>123825</xdr:colOff>
      <xdr:row>73</xdr:row>
      <xdr:rowOff>152400</xdr:rowOff>
    </xdr:from>
    <xdr:to>
      <xdr:col>86</xdr:col>
      <xdr:colOff>428625</xdr:colOff>
      <xdr:row>88</xdr:row>
      <xdr:rowOff>38100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78</xdr:col>
      <xdr:colOff>552450</xdr:colOff>
      <xdr:row>102</xdr:row>
      <xdr:rowOff>66675</xdr:rowOff>
    </xdr:from>
    <xdr:to>
      <xdr:col>86</xdr:col>
      <xdr:colOff>247650</xdr:colOff>
      <xdr:row>116</xdr:row>
      <xdr:rowOff>142875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79</xdr:col>
      <xdr:colOff>57150</xdr:colOff>
      <xdr:row>133</xdr:row>
      <xdr:rowOff>161925</xdr:rowOff>
    </xdr:from>
    <xdr:to>
      <xdr:col>86</xdr:col>
      <xdr:colOff>361950</xdr:colOff>
      <xdr:row>148</xdr:row>
      <xdr:rowOff>47625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124</xdr:col>
      <xdr:colOff>361950</xdr:colOff>
      <xdr:row>40</xdr:row>
      <xdr:rowOff>0</xdr:rowOff>
    </xdr:from>
    <xdr:to>
      <xdr:col>132</xdr:col>
      <xdr:colOff>57150</xdr:colOff>
      <xdr:row>54</xdr:row>
      <xdr:rowOff>76200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135</xdr:col>
      <xdr:colOff>66675</xdr:colOff>
      <xdr:row>40</xdr:row>
      <xdr:rowOff>28575</xdr:rowOff>
    </xdr:from>
    <xdr:to>
      <xdr:col>142</xdr:col>
      <xdr:colOff>371475</xdr:colOff>
      <xdr:row>54</xdr:row>
      <xdr:rowOff>104775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145</xdr:col>
      <xdr:colOff>76200</xdr:colOff>
      <xdr:row>40</xdr:row>
      <xdr:rowOff>76200</xdr:rowOff>
    </xdr:from>
    <xdr:to>
      <xdr:col>152</xdr:col>
      <xdr:colOff>381000</xdr:colOff>
      <xdr:row>54</xdr:row>
      <xdr:rowOff>152400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495300</xdr:colOff>
      <xdr:row>17</xdr:row>
      <xdr:rowOff>95250</xdr:rowOff>
    </xdr:from>
    <xdr:to>
      <xdr:col>21</xdr:col>
      <xdr:colOff>47625</xdr:colOff>
      <xdr:row>31</xdr:row>
      <xdr:rowOff>161925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B235"/>
  <sheetViews>
    <sheetView workbookViewId="0">
      <selection activeCell="J22" sqref="J22"/>
    </sheetView>
  </sheetViews>
  <sheetFormatPr defaultRowHeight="15"/>
  <cols>
    <col min="3" max="3" width="33" customWidth="1"/>
    <col min="4" max="4" width="24.85546875" customWidth="1"/>
    <col min="7" max="7" width="9.140625" customWidth="1"/>
    <col min="8" max="8" width="17.7109375" customWidth="1"/>
    <col min="18" max="18" width="10.140625" customWidth="1"/>
    <col min="21" max="21" width="10.28515625" customWidth="1"/>
    <col min="22" max="22" width="9.5703125" customWidth="1"/>
    <col min="25" max="25" width="9.5703125" customWidth="1"/>
    <col min="30" max="30" width="9.5703125" customWidth="1"/>
    <col min="31" max="31" width="12.5703125" customWidth="1"/>
    <col min="32" max="32" width="10.28515625" customWidth="1"/>
    <col min="35" max="35" width="22.7109375" customWidth="1"/>
    <col min="91" max="91" width="23.42578125" customWidth="1"/>
    <col min="92" max="92" width="12" customWidth="1"/>
    <col min="93" max="93" width="13.140625" customWidth="1"/>
    <col min="108" max="108" width="18.28515625" customWidth="1"/>
  </cols>
  <sheetData>
    <row r="2" spans="1:32" ht="15.75" thickBot="1">
      <c r="X2" s="170" t="s">
        <v>547</v>
      </c>
      <c r="Y2" s="170"/>
    </row>
    <row r="3" spans="1:32" ht="15.75" thickBot="1">
      <c r="C3" s="24"/>
      <c r="D3" s="25"/>
      <c r="E3" s="25"/>
      <c r="F3" s="26"/>
      <c r="H3" s="180" t="s">
        <v>597</v>
      </c>
      <c r="I3" s="181"/>
      <c r="J3" s="181"/>
      <c r="K3" s="181"/>
      <c r="L3" s="181"/>
      <c r="M3" s="182"/>
      <c r="X3" s="176" t="s">
        <v>544</v>
      </c>
      <c r="Y3" s="176" t="s">
        <v>545</v>
      </c>
      <c r="AC3" s="170" t="s">
        <v>537</v>
      </c>
      <c r="AD3" s="170"/>
      <c r="AE3" s="170"/>
      <c r="AF3" s="170"/>
    </row>
    <row r="4" spans="1:32">
      <c r="A4" s="9" t="s">
        <v>61</v>
      </c>
      <c r="B4" s="9" t="s">
        <v>62</v>
      </c>
      <c r="C4" s="120" t="s">
        <v>508</v>
      </c>
      <c r="D4" s="38"/>
      <c r="E4" s="103" t="s">
        <v>260</v>
      </c>
      <c r="F4" s="121" t="s">
        <v>319</v>
      </c>
      <c r="G4" s="9"/>
      <c r="H4" s="51" t="s">
        <v>288</v>
      </c>
      <c r="I4" s="168" t="s">
        <v>289</v>
      </c>
      <c r="J4" s="168" t="s">
        <v>0</v>
      </c>
      <c r="K4" s="168" t="s">
        <v>3</v>
      </c>
      <c r="L4" s="168" t="s">
        <v>4</v>
      </c>
      <c r="M4" s="52" t="s">
        <v>5</v>
      </c>
      <c r="O4" s="178" t="s">
        <v>461</v>
      </c>
      <c r="P4" s="179"/>
      <c r="Q4" s="179"/>
      <c r="R4" s="132" t="s">
        <v>260</v>
      </c>
      <c r="S4" s="133"/>
      <c r="T4" s="134" t="s">
        <v>319</v>
      </c>
      <c r="U4" s="135" t="s">
        <v>534</v>
      </c>
      <c r="W4" s="2"/>
      <c r="X4" s="176"/>
      <c r="Y4" s="176"/>
      <c r="AC4" s="140" t="s">
        <v>503</v>
      </c>
      <c r="AD4" s="140" t="s">
        <v>514</v>
      </c>
      <c r="AE4" s="140" t="s">
        <v>541</v>
      </c>
      <c r="AF4" s="140" t="s">
        <v>542</v>
      </c>
    </row>
    <row r="5" spans="1:32">
      <c r="A5" s="167" t="s">
        <v>572</v>
      </c>
      <c r="B5" s="167" t="s">
        <v>583</v>
      </c>
      <c r="C5" s="27" t="s">
        <v>63</v>
      </c>
      <c r="D5" s="146" t="s">
        <v>10</v>
      </c>
      <c r="E5" s="38"/>
      <c r="F5" s="29"/>
      <c r="H5" s="53" t="s">
        <v>264</v>
      </c>
      <c r="I5" s="12">
        <v>0.5</v>
      </c>
      <c r="J5" s="150">
        <v>0.16</v>
      </c>
      <c r="K5" s="150">
        <v>0.16</v>
      </c>
      <c r="L5" s="150">
        <v>0.16</v>
      </c>
      <c r="M5" s="151">
        <v>0.16</v>
      </c>
      <c r="O5" s="172" t="s">
        <v>488</v>
      </c>
      <c r="P5" s="173"/>
      <c r="Q5" s="173"/>
      <c r="R5" s="128">
        <f ca="1">$P$234</f>
        <v>1780.2737462585155</v>
      </c>
      <c r="S5" s="169" t="s">
        <v>598</v>
      </c>
      <c r="T5" s="38"/>
      <c r="U5" s="29"/>
      <c r="W5" s="56" t="s">
        <v>0</v>
      </c>
      <c r="X5" s="112">
        <f ca="1">J122</f>
        <v>4521.3999999999996</v>
      </c>
      <c r="Y5" s="112">
        <f ca="1">X5*(1-D37)</f>
        <v>3160.4585999999999</v>
      </c>
      <c r="AC5" s="100">
        <v>1</v>
      </c>
      <c r="AD5" s="5">
        <f t="shared" ref="AD5:AD29" ca="1" si="0">$R$14*((1+$D$20)^$AC5)*(1+$D$72*$AC5)</f>
        <v>1131.0345403288575</v>
      </c>
      <c r="AE5" s="5"/>
      <c r="AF5" s="114">
        <f>$D$19</f>
        <v>17500</v>
      </c>
    </row>
    <row r="6" spans="1:32">
      <c r="A6" s="167" t="s">
        <v>571</v>
      </c>
      <c r="B6" s="167" t="s">
        <v>584</v>
      </c>
      <c r="C6" s="27" t="s">
        <v>66</v>
      </c>
      <c r="D6" s="146" t="s">
        <v>133</v>
      </c>
      <c r="E6" s="38"/>
      <c r="F6" s="29"/>
      <c r="H6" s="53" t="s">
        <v>265</v>
      </c>
      <c r="I6" s="12">
        <f>I5+1</f>
        <v>1.5</v>
      </c>
      <c r="J6" s="150">
        <v>0.16</v>
      </c>
      <c r="K6" s="150">
        <v>0.16</v>
      </c>
      <c r="L6" s="150">
        <v>0.16</v>
      </c>
      <c r="M6" s="151">
        <v>0.16</v>
      </c>
      <c r="O6" s="172" t="s">
        <v>489</v>
      </c>
      <c r="P6" s="173"/>
      <c r="Q6" s="173"/>
      <c r="R6" s="128">
        <f ca="1">$Q$234</f>
        <v>1959.0957752906827</v>
      </c>
      <c r="S6" s="169" t="s">
        <v>598</v>
      </c>
      <c r="T6" s="38"/>
      <c r="U6" s="29"/>
      <c r="W6" s="56" t="s">
        <v>3</v>
      </c>
      <c r="X6" s="112">
        <f ca="1">K122</f>
        <v>7589.17</v>
      </c>
      <c r="Y6" s="112">
        <f ca="1">X6*(1-D38)</f>
        <v>4561.0911699999997</v>
      </c>
      <c r="AC6" s="100">
        <v>2</v>
      </c>
      <c r="AD6" s="5">
        <f t="shared" ca="1" si="0"/>
        <v>1146.6915174666092</v>
      </c>
      <c r="AE6" s="5">
        <f ca="1">AD5+AD6</f>
        <v>2277.7260577954667</v>
      </c>
      <c r="AF6" s="114">
        <f t="shared" ref="AF6:AF29" si="1">$D$19</f>
        <v>17500</v>
      </c>
    </row>
    <row r="7" spans="1:32">
      <c r="A7" s="167" t="s">
        <v>574</v>
      </c>
      <c r="B7" s="167" t="s">
        <v>585</v>
      </c>
      <c r="C7" s="27" t="s">
        <v>258</v>
      </c>
      <c r="D7" s="147">
        <v>180</v>
      </c>
      <c r="E7" s="38" t="s">
        <v>259</v>
      </c>
      <c r="F7" s="29" t="s">
        <v>498</v>
      </c>
      <c r="H7" s="53" t="s">
        <v>266</v>
      </c>
      <c r="I7" s="12">
        <f t="shared" ref="I7:I28" si="2">I6+1</f>
        <v>2.5</v>
      </c>
      <c r="J7" s="150">
        <v>0.16</v>
      </c>
      <c r="K7" s="150">
        <v>0.16</v>
      </c>
      <c r="L7" s="150">
        <v>0.16</v>
      </c>
      <c r="M7" s="151">
        <v>0.16</v>
      </c>
      <c r="O7" s="172" t="s">
        <v>490</v>
      </c>
      <c r="P7" s="173"/>
      <c r="Q7" s="173"/>
      <c r="R7" s="128">
        <f ca="1">$R$234</f>
        <v>1783.4216358034178</v>
      </c>
      <c r="S7" s="169" t="s">
        <v>598</v>
      </c>
      <c r="T7" s="38"/>
      <c r="U7" s="29"/>
      <c r="W7" s="56" t="s">
        <v>4</v>
      </c>
      <c r="X7" s="112">
        <f ca="1">L122</f>
        <v>7533.9300030796076</v>
      </c>
      <c r="Y7" s="112">
        <f ca="1">X7*(1-D39)</f>
        <v>4686.1044619155155</v>
      </c>
      <c r="AC7" s="100">
        <v>3</v>
      </c>
      <c r="AD7" s="5">
        <f t="shared" ca="1" si="0"/>
        <v>1162.5223598737391</v>
      </c>
      <c r="AE7" s="5">
        <f ca="1">AE6+AD7</f>
        <v>3440.248417669206</v>
      </c>
      <c r="AF7" s="114">
        <f t="shared" si="1"/>
        <v>17500</v>
      </c>
    </row>
    <row r="8" spans="1:32">
      <c r="A8" s="167" t="s">
        <v>574</v>
      </c>
      <c r="B8" s="167" t="s">
        <v>585</v>
      </c>
      <c r="C8" s="27" t="s">
        <v>261</v>
      </c>
      <c r="D8" s="147">
        <v>44</v>
      </c>
      <c r="E8" s="38" t="s">
        <v>259</v>
      </c>
      <c r="F8" s="29" t="s">
        <v>321</v>
      </c>
      <c r="H8" s="53" t="s">
        <v>267</v>
      </c>
      <c r="I8" s="12">
        <f t="shared" si="2"/>
        <v>3.5</v>
      </c>
      <c r="J8" s="150">
        <v>0.16</v>
      </c>
      <c r="K8" s="150">
        <v>0.16</v>
      </c>
      <c r="L8" s="150">
        <v>0.16</v>
      </c>
      <c r="M8" s="151">
        <v>0.16</v>
      </c>
      <c r="O8" s="172" t="s">
        <v>491</v>
      </c>
      <c r="P8" s="173"/>
      <c r="Q8" s="173"/>
      <c r="R8" s="128">
        <f ca="1">$S$234</f>
        <v>1449.4006967675552</v>
      </c>
      <c r="S8" s="169" t="s">
        <v>598</v>
      </c>
      <c r="T8" s="38"/>
      <c r="U8" s="29"/>
      <c r="W8" s="56" t="s">
        <v>5</v>
      </c>
      <c r="X8" s="112">
        <f ca="1">M122</f>
        <v>4510.8292013979208</v>
      </c>
      <c r="Y8" s="112">
        <f ca="1">X8*(1-D40)</f>
        <v>2796.7141048667113</v>
      </c>
      <c r="AC8" s="100">
        <v>4</v>
      </c>
      <c r="AD8" s="5">
        <f t="shared" ca="1" si="0"/>
        <v>1178.5277593701678</v>
      </c>
      <c r="AE8" s="5">
        <f t="shared" ref="AE8:AE29" ca="1" si="3">AE7+AD8</f>
        <v>4618.7761770393736</v>
      </c>
      <c r="AF8" s="114">
        <f t="shared" si="1"/>
        <v>17500</v>
      </c>
    </row>
    <row r="9" spans="1:32">
      <c r="A9" s="167" t="s">
        <v>574</v>
      </c>
      <c r="B9" s="167" t="s">
        <v>585</v>
      </c>
      <c r="C9" s="27" t="s">
        <v>315</v>
      </c>
      <c r="D9" s="147">
        <v>24</v>
      </c>
      <c r="E9" s="38" t="s">
        <v>262</v>
      </c>
      <c r="F9" s="29" t="s">
        <v>500</v>
      </c>
      <c r="H9" s="53" t="s">
        <v>268</v>
      </c>
      <c r="I9" s="12">
        <f t="shared" si="2"/>
        <v>4.5</v>
      </c>
      <c r="J9" s="150">
        <v>0.16</v>
      </c>
      <c r="K9" s="150">
        <v>0.16</v>
      </c>
      <c r="L9" s="150">
        <v>0.16</v>
      </c>
      <c r="M9" s="151">
        <v>0.16</v>
      </c>
      <c r="O9" s="172" t="s">
        <v>543</v>
      </c>
      <c r="P9" s="173"/>
      <c r="Q9" s="173"/>
      <c r="R9" s="128">
        <f ca="1">$P$235</f>
        <v>6972.1918541201712</v>
      </c>
      <c r="S9" s="169" t="s">
        <v>598</v>
      </c>
      <c r="T9" s="38" t="s">
        <v>535</v>
      </c>
      <c r="U9" s="29"/>
      <c r="W9" s="141"/>
      <c r="X9" s="142"/>
      <c r="Y9" s="142"/>
      <c r="Z9" s="11"/>
      <c r="AC9" s="100">
        <v>5</v>
      </c>
      <c r="AD9" s="5">
        <f t="shared" ca="1" si="0"/>
        <v>1194.7083659025041</v>
      </c>
      <c r="AE9" s="5">
        <f t="shared" ca="1" si="3"/>
        <v>5813.4845429418774</v>
      </c>
      <c r="AF9" s="114">
        <f t="shared" si="1"/>
        <v>17500</v>
      </c>
    </row>
    <row r="10" spans="1:32">
      <c r="A10" s="167" t="s">
        <v>575</v>
      </c>
      <c r="B10" s="167" t="s">
        <v>586</v>
      </c>
      <c r="C10" s="27" t="s">
        <v>549</v>
      </c>
      <c r="D10" s="148">
        <v>0.22</v>
      </c>
      <c r="E10" s="38" t="s">
        <v>263</v>
      </c>
      <c r="F10" s="29" t="s">
        <v>499</v>
      </c>
      <c r="H10" s="53" t="s">
        <v>269</v>
      </c>
      <c r="I10" s="12">
        <f t="shared" si="2"/>
        <v>5.5</v>
      </c>
      <c r="J10" s="150">
        <v>0.16</v>
      </c>
      <c r="K10" s="150">
        <v>0.16</v>
      </c>
      <c r="L10" s="150">
        <v>0.16</v>
      </c>
      <c r="M10" s="151">
        <v>0.16</v>
      </c>
      <c r="O10" s="172" t="s">
        <v>509</v>
      </c>
      <c r="P10" s="173"/>
      <c r="Q10" s="173"/>
      <c r="R10" s="129">
        <f ca="1">$V$234</f>
        <v>284.8437994013625</v>
      </c>
      <c r="S10" s="102" t="s">
        <v>492</v>
      </c>
      <c r="T10" s="38" t="s">
        <v>518</v>
      </c>
      <c r="U10" s="130">
        <f ca="1">$R10/3</f>
        <v>94.947933133787501</v>
      </c>
      <c r="AC10" s="100">
        <v>6</v>
      </c>
      <c r="AD10" s="5">
        <f t="shared" ca="1" si="0"/>
        <v>1211.064785592386</v>
      </c>
      <c r="AE10" s="5">
        <f t="shared" ca="1" si="3"/>
        <v>7024.5493285342636</v>
      </c>
      <c r="AF10" s="114">
        <f t="shared" si="1"/>
        <v>17500</v>
      </c>
    </row>
    <row r="11" spans="1:32">
      <c r="A11" s="167" t="s">
        <v>576</v>
      </c>
      <c r="B11" s="167" t="s">
        <v>587</v>
      </c>
      <c r="C11" s="27" t="s">
        <v>396</v>
      </c>
      <c r="D11" s="147">
        <v>0.85</v>
      </c>
      <c r="E11" s="38"/>
      <c r="F11" s="29"/>
      <c r="H11" s="53" t="s">
        <v>270</v>
      </c>
      <c r="I11" s="12">
        <f t="shared" si="2"/>
        <v>6.5</v>
      </c>
      <c r="J11" s="150">
        <v>0.16</v>
      </c>
      <c r="K11" s="150">
        <v>0.16</v>
      </c>
      <c r="L11" s="150">
        <v>0.16</v>
      </c>
      <c r="M11" s="151">
        <v>0.16</v>
      </c>
      <c r="O11" s="172" t="s">
        <v>510</v>
      </c>
      <c r="P11" s="173"/>
      <c r="Q11" s="173"/>
      <c r="R11" s="129">
        <f ca="1">$W$234</f>
        <v>313.45532404650925</v>
      </c>
      <c r="S11" s="102" t="s">
        <v>492</v>
      </c>
      <c r="T11" s="38" t="s">
        <v>515</v>
      </c>
      <c r="U11" s="130">
        <f ca="1">$R11/3</f>
        <v>104.48510801550309</v>
      </c>
      <c r="X11" s="170" t="s">
        <v>599</v>
      </c>
      <c r="Y11" s="170"/>
      <c r="AC11" s="100">
        <v>7</v>
      </c>
      <c r="AD11" s="5">
        <f t="shared" ca="1" si="0"/>
        <v>1227.5975787235016</v>
      </c>
      <c r="AE11" s="5">
        <f t="shared" ca="1" si="3"/>
        <v>8252.1469072577656</v>
      </c>
      <c r="AF11" s="114">
        <f t="shared" si="1"/>
        <v>17500</v>
      </c>
    </row>
    <row r="12" spans="1:32">
      <c r="A12" s="167" t="s">
        <v>577</v>
      </c>
      <c r="B12" s="167" t="s">
        <v>587</v>
      </c>
      <c r="C12" s="27" t="s">
        <v>447</v>
      </c>
      <c r="D12" s="147">
        <v>80</v>
      </c>
      <c r="E12" s="38" t="s">
        <v>259</v>
      </c>
      <c r="F12" s="29" t="s">
        <v>307</v>
      </c>
      <c r="H12" s="53" t="s">
        <v>271</v>
      </c>
      <c r="I12" s="12">
        <f t="shared" si="2"/>
        <v>7.5</v>
      </c>
      <c r="J12" s="150">
        <v>0.16</v>
      </c>
      <c r="K12" s="150">
        <v>0.16</v>
      </c>
      <c r="L12" s="150">
        <v>0.16</v>
      </c>
      <c r="M12" s="151">
        <v>0.16</v>
      </c>
      <c r="O12" s="172" t="s">
        <v>511</v>
      </c>
      <c r="P12" s="173"/>
      <c r="Q12" s="173"/>
      <c r="R12" s="129">
        <f ca="1">$X$234</f>
        <v>285.34746172854682</v>
      </c>
      <c r="S12" s="102" t="s">
        <v>492</v>
      </c>
      <c r="T12" s="38" t="s">
        <v>516</v>
      </c>
      <c r="U12" s="130">
        <f ca="1">$R12/3</f>
        <v>95.115820576182273</v>
      </c>
      <c r="W12" s="56" t="s">
        <v>546</v>
      </c>
      <c r="X12" s="112">
        <f ca="1">SUM(X5:X8)*(91.5/1000)</f>
        <v>2210.212622209694</v>
      </c>
      <c r="Y12" s="112">
        <f ca="1">SUM(Y5:Y8)*(91.5/1000)</f>
        <v>1391.1997028155738</v>
      </c>
      <c r="AC12" s="100">
        <v>8</v>
      </c>
      <c r="AD12" s="5">
        <f t="shared" ca="1" si="0"/>
        <v>1244.3072576656255</v>
      </c>
      <c r="AE12" s="5">
        <f t="shared" ca="1" si="3"/>
        <v>9496.4541649233906</v>
      </c>
      <c r="AF12" s="114">
        <f t="shared" si="1"/>
        <v>17500</v>
      </c>
    </row>
    <row r="13" spans="1:32">
      <c r="A13" s="167" t="s">
        <v>578</v>
      </c>
      <c r="B13" s="167" t="s">
        <v>587</v>
      </c>
      <c r="C13" s="27" t="s">
        <v>457</v>
      </c>
      <c r="D13" s="147">
        <v>-3.3999999999999998E-3</v>
      </c>
      <c r="E13" s="38" t="s">
        <v>506</v>
      </c>
      <c r="F13" s="29" t="s">
        <v>501</v>
      </c>
      <c r="H13" s="53" t="s">
        <v>272</v>
      </c>
      <c r="I13" s="12">
        <f t="shared" si="2"/>
        <v>8.5</v>
      </c>
      <c r="J13" s="150">
        <v>0.16</v>
      </c>
      <c r="K13" s="150">
        <v>0.16</v>
      </c>
      <c r="L13" s="150">
        <v>0.16</v>
      </c>
      <c r="M13" s="151">
        <v>0.16</v>
      </c>
      <c r="O13" s="172" t="s">
        <v>512</v>
      </c>
      <c r="P13" s="173"/>
      <c r="Q13" s="173"/>
      <c r="R13" s="129">
        <f ca="1">$Y$234</f>
        <v>231.90411148280884</v>
      </c>
      <c r="S13" s="102" t="s">
        <v>492</v>
      </c>
      <c r="T13" s="38" t="s">
        <v>517</v>
      </c>
      <c r="U13" s="130">
        <f ca="1">$R13/3</f>
        <v>77.301370494269619</v>
      </c>
      <c r="AC13" s="100">
        <v>9</v>
      </c>
      <c r="AD13" s="5">
        <f t="shared" ca="1" si="0"/>
        <v>1261.1942847339446</v>
      </c>
      <c r="AE13" s="5">
        <f t="shared" ca="1" si="3"/>
        <v>10757.648449657336</v>
      </c>
      <c r="AF13" s="114">
        <f t="shared" si="1"/>
        <v>17500</v>
      </c>
    </row>
    <row r="14" spans="1:32">
      <c r="A14" s="167" t="s">
        <v>579</v>
      </c>
      <c r="B14" s="167" t="s">
        <v>588</v>
      </c>
      <c r="C14" s="27" t="s">
        <v>398</v>
      </c>
      <c r="D14" s="146" t="s">
        <v>410</v>
      </c>
      <c r="E14" s="38"/>
      <c r="F14" s="29"/>
      <c r="H14" s="53" t="s">
        <v>273</v>
      </c>
      <c r="I14" s="12">
        <f t="shared" si="2"/>
        <v>9.5</v>
      </c>
      <c r="J14" s="150">
        <v>0.16</v>
      </c>
      <c r="K14" s="150">
        <v>0.16</v>
      </c>
      <c r="L14" s="150">
        <v>0.16</v>
      </c>
      <c r="M14" s="151">
        <v>0.16</v>
      </c>
      <c r="O14" s="172" t="s">
        <v>502</v>
      </c>
      <c r="P14" s="173"/>
      <c r="Q14" s="173"/>
      <c r="R14" s="129">
        <f ca="1">$V$235</f>
        <v>1115.5506966592275</v>
      </c>
      <c r="S14" s="102" t="s">
        <v>492</v>
      </c>
      <c r="T14" s="38" t="s">
        <v>519</v>
      </c>
      <c r="U14" s="29"/>
      <c r="AC14" s="100">
        <v>10</v>
      </c>
      <c r="AD14" s="5">
        <f t="shared" ca="1" si="0"/>
        <v>1278.2590699819305</v>
      </c>
      <c r="AE14" s="5">
        <f t="shared" ca="1" si="3"/>
        <v>12035.907519639266</v>
      </c>
      <c r="AF14" s="114">
        <f t="shared" si="1"/>
        <v>17500</v>
      </c>
    </row>
    <row r="15" spans="1:32">
      <c r="A15" s="167" t="s">
        <v>579</v>
      </c>
      <c r="B15" s="167" t="s">
        <v>588</v>
      </c>
      <c r="C15" s="27" t="s">
        <v>399</v>
      </c>
      <c r="D15" s="146" t="s">
        <v>410</v>
      </c>
      <c r="E15" s="38"/>
      <c r="F15" s="29"/>
      <c r="H15" s="53" t="s">
        <v>274</v>
      </c>
      <c r="I15" s="12">
        <f t="shared" si="2"/>
        <v>10.5</v>
      </c>
      <c r="J15" s="150">
        <v>0.16</v>
      </c>
      <c r="K15" s="150">
        <v>0.16</v>
      </c>
      <c r="L15" s="150">
        <v>0.16</v>
      </c>
      <c r="M15" s="151">
        <v>0.16</v>
      </c>
      <c r="O15" s="172" t="s">
        <v>494</v>
      </c>
      <c r="P15" s="173"/>
      <c r="Q15" s="173"/>
      <c r="R15" s="129">
        <f ca="1">$AE$29</f>
        <v>33378.996549506875</v>
      </c>
      <c r="S15" s="102" t="s">
        <v>492</v>
      </c>
      <c r="T15" s="38"/>
      <c r="U15" s="29"/>
      <c r="AC15" s="100">
        <v>11</v>
      </c>
      <c r="AD15" s="5">
        <f t="shared" ca="1" si="0"/>
        <v>1295.5019689259418</v>
      </c>
      <c r="AE15" s="5">
        <f t="shared" ca="1" si="3"/>
        <v>13331.409488565208</v>
      </c>
      <c r="AF15" s="114">
        <f t="shared" si="1"/>
        <v>17500</v>
      </c>
    </row>
    <row r="16" spans="1:32">
      <c r="A16" s="167" t="s">
        <v>579</v>
      </c>
      <c r="B16" s="167" t="s">
        <v>588</v>
      </c>
      <c r="C16" s="27" t="s">
        <v>400</v>
      </c>
      <c r="D16" s="146" t="s">
        <v>410</v>
      </c>
      <c r="E16" s="38"/>
      <c r="F16" s="29"/>
      <c r="H16" s="53" t="s">
        <v>275</v>
      </c>
      <c r="I16" s="12">
        <f t="shared" si="2"/>
        <v>11.5</v>
      </c>
      <c r="J16" s="150">
        <v>0.16</v>
      </c>
      <c r="K16" s="150">
        <v>0.16</v>
      </c>
      <c r="L16" s="150">
        <v>0.16</v>
      </c>
      <c r="M16" s="151">
        <v>0.16</v>
      </c>
      <c r="O16" s="172" t="s">
        <v>496</v>
      </c>
      <c r="P16" s="173"/>
      <c r="Q16" s="173"/>
      <c r="R16" s="131">
        <f ca="1">(25-0.5*((1-$D$11)/25)*25^2)*R9</f>
        <v>161231.93662652897</v>
      </c>
      <c r="S16" s="169" t="s">
        <v>598</v>
      </c>
      <c r="T16" s="38" t="s">
        <v>536</v>
      </c>
      <c r="U16" s="29"/>
      <c r="AC16" s="100">
        <v>12</v>
      </c>
      <c r="AD16" s="5">
        <f t="shared" ca="1" si="0"/>
        <v>1312.9232801997211</v>
      </c>
      <c r="AE16" s="5">
        <f t="shared" ca="1" si="3"/>
        <v>14644.332768764929</v>
      </c>
      <c r="AF16" s="114">
        <f t="shared" si="1"/>
        <v>17500</v>
      </c>
    </row>
    <row r="17" spans="1:32" ht="15.75" thickBot="1">
      <c r="A17" s="167" t="s">
        <v>579</v>
      </c>
      <c r="B17" s="167" t="s">
        <v>588</v>
      </c>
      <c r="C17" s="27" t="s">
        <v>401</v>
      </c>
      <c r="D17" s="146" t="s">
        <v>410</v>
      </c>
      <c r="E17" s="38"/>
      <c r="F17" s="29"/>
      <c r="H17" s="53" t="s">
        <v>276</v>
      </c>
      <c r="I17" s="12">
        <f t="shared" si="2"/>
        <v>12.5</v>
      </c>
      <c r="J17" s="150">
        <v>0.16</v>
      </c>
      <c r="K17" s="150">
        <v>0.16</v>
      </c>
      <c r="L17" s="150">
        <v>0.16</v>
      </c>
      <c r="M17" s="151">
        <v>0.16</v>
      </c>
      <c r="O17" s="183" t="s">
        <v>504</v>
      </c>
      <c r="P17" s="184"/>
      <c r="Q17" s="184"/>
      <c r="R17" s="139">
        <f ca="1">$D$19/$R$16</f>
        <v>0.10853929045420004</v>
      </c>
      <c r="S17" s="136" t="s">
        <v>492</v>
      </c>
      <c r="T17" s="41"/>
      <c r="U17" s="42"/>
      <c r="AC17" s="100">
        <v>13</v>
      </c>
      <c r="AD17" s="5">
        <f t="shared" ca="1" si="0"/>
        <v>1330.5232431368811</v>
      </c>
      <c r="AE17" s="5">
        <f t="shared" ca="1" si="3"/>
        <v>15974.856011901809</v>
      </c>
      <c r="AF17" s="114">
        <f t="shared" si="1"/>
        <v>17500</v>
      </c>
    </row>
    <row r="18" spans="1:32">
      <c r="A18" s="167" t="s">
        <v>580</v>
      </c>
      <c r="B18" s="167" t="s">
        <v>588</v>
      </c>
      <c r="C18" s="27" t="s">
        <v>495</v>
      </c>
      <c r="D18" s="147">
        <v>0.93</v>
      </c>
      <c r="E18" s="38"/>
      <c r="F18" s="29"/>
      <c r="H18" s="53" t="s">
        <v>277</v>
      </c>
      <c r="I18" s="12">
        <f t="shared" si="2"/>
        <v>13.5</v>
      </c>
      <c r="J18" s="150">
        <v>0.16</v>
      </c>
      <c r="K18" s="150">
        <v>0.16</v>
      </c>
      <c r="L18" s="150">
        <v>0.16</v>
      </c>
      <c r="M18" s="151">
        <v>0.16</v>
      </c>
      <c r="O18" s="2"/>
      <c r="P18" s="2"/>
      <c r="Q18" s="2"/>
      <c r="R18" s="115"/>
      <c r="AC18" s="100">
        <v>14</v>
      </c>
      <c r="AD18" s="5">
        <f t="shared" ca="1" si="0"/>
        <v>1348.3020352794479</v>
      </c>
      <c r="AE18" s="5">
        <f t="shared" ca="1" si="3"/>
        <v>17323.158047181256</v>
      </c>
      <c r="AF18" s="114">
        <f t="shared" si="1"/>
        <v>17500</v>
      </c>
    </row>
    <row r="19" spans="1:32">
      <c r="A19" s="167" t="s">
        <v>581</v>
      </c>
      <c r="B19" s="167" t="s">
        <v>588</v>
      </c>
      <c r="C19" s="27" t="s">
        <v>497</v>
      </c>
      <c r="D19" s="147">
        <v>17500</v>
      </c>
      <c r="E19" s="38" t="s">
        <v>492</v>
      </c>
      <c r="F19" s="29"/>
      <c r="H19" s="53" t="s">
        <v>278</v>
      </c>
      <c r="I19" s="12">
        <f t="shared" si="2"/>
        <v>14.5</v>
      </c>
      <c r="J19" s="150">
        <v>0.16</v>
      </c>
      <c r="K19" s="150">
        <v>0.16</v>
      </c>
      <c r="L19" s="150">
        <v>0.16</v>
      </c>
      <c r="M19" s="151">
        <v>0.16</v>
      </c>
      <c r="AC19" s="100">
        <v>15</v>
      </c>
      <c r="AD19" s="5">
        <f t="shared" ca="1" si="0"/>
        <v>1366.2597698104621</v>
      </c>
      <c r="AE19" s="5">
        <f t="shared" ca="1" si="3"/>
        <v>18689.417816991718</v>
      </c>
      <c r="AF19" s="114">
        <f t="shared" si="1"/>
        <v>17500</v>
      </c>
    </row>
    <row r="20" spans="1:32">
      <c r="A20" s="167" t="s">
        <v>582</v>
      </c>
      <c r="B20" s="167" t="s">
        <v>588</v>
      </c>
      <c r="C20" s="27" t="s">
        <v>507</v>
      </c>
      <c r="D20" s="149">
        <v>0.02</v>
      </c>
      <c r="E20" s="38" t="s">
        <v>505</v>
      </c>
      <c r="F20" s="29"/>
      <c r="H20" s="53" t="s">
        <v>279</v>
      </c>
      <c r="I20" s="12">
        <f t="shared" si="2"/>
        <v>15.5</v>
      </c>
      <c r="J20" s="150">
        <v>0.16</v>
      </c>
      <c r="K20" s="150">
        <v>0.16</v>
      </c>
      <c r="L20" s="150">
        <v>0.16</v>
      </c>
      <c r="M20" s="151">
        <v>0.16</v>
      </c>
      <c r="AC20" s="100">
        <v>16</v>
      </c>
      <c r="AD20" s="5">
        <f t="shared" ca="1" si="0"/>
        <v>1384.3964929086058</v>
      </c>
      <c r="AE20" s="5">
        <f t="shared" ca="1" si="3"/>
        <v>20073.814309900325</v>
      </c>
      <c r="AF20" s="114">
        <f t="shared" si="1"/>
        <v>17500</v>
      </c>
    </row>
    <row r="21" spans="1:32">
      <c r="C21" s="27"/>
      <c r="D21" s="38"/>
      <c r="E21" s="38"/>
      <c r="F21" s="29"/>
      <c r="H21" s="53" t="s">
        <v>280</v>
      </c>
      <c r="I21" s="12">
        <f t="shared" si="2"/>
        <v>16.5</v>
      </c>
      <c r="J21" s="150">
        <v>0.16</v>
      </c>
      <c r="K21" s="150">
        <v>0.16</v>
      </c>
      <c r="L21" s="150">
        <v>0.16</v>
      </c>
      <c r="M21" s="151">
        <v>0.16</v>
      </c>
      <c r="AC21" s="100">
        <v>17</v>
      </c>
      <c r="AD21" s="5">
        <f t="shared" ca="1" si="0"/>
        <v>1402.7121810227507</v>
      </c>
      <c r="AE21" s="5">
        <f t="shared" ca="1" si="3"/>
        <v>21476.526490923075</v>
      </c>
      <c r="AF21" s="114">
        <f t="shared" si="1"/>
        <v>17500</v>
      </c>
    </row>
    <row r="22" spans="1:32">
      <c r="C22" s="27"/>
      <c r="D22" s="38"/>
      <c r="E22" s="38"/>
      <c r="F22" s="29"/>
      <c r="H22" s="53" t="s">
        <v>281</v>
      </c>
      <c r="I22" s="12">
        <f t="shared" si="2"/>
        <v>17.5</v>
      </c>
      <c r="J22" s="150">
        <v>0.16</v>
      </c>
      <c r="K22" s="150">
        <v>0.16</v>
      </c>
      <c r="L22" s="150">
        <v>0.16</v>
      </c>
      <c r="M22" s="151">
        <v>0.16</v>
      </c>
      <c r="AC22" s="100">
        <v>18</v>
      </c>
      <c r="AD22" s="5">
        <f t="shared" ca="1" si="0"/>
        <v>1421.2067380642975</v>
      </c>
      <c r="AE22" s="5">
        <f t="shared" ca="1" si="3"/>
        <v>22897.733228987374</v>
      </c>
      <c r="AF22" s="114">
        <f t="shared" si="1"/>
        <v>17500</v>
      </c>
    </row>
    <row r="23" spans="1:32">
      <c r="C23" s="122"/>
      <c r="D23" s="36"/>
      <c r="E23" s="36"/>
      <c r="F23" s="29"/>
      <c r="H23" s="53" t="s">
        <v>282</v>
      </c>
      <c r="I23" s="12">
        <f t="shared" si="2"/>
        <v>18.5</v>
      </c>
      <c r="J23" s="150">
        <v>0.16</v>
      </c>
      <c r="K23" s="150">
        <v>0.16</v>
      </c>
      <c r="L23" s="150">
        <v>0.16</v>
      </c>
      <c r="M23" s="151">
        <v>0.16</v>
      </c>
      <c r="AC23" s="100">
        <v>19</v>
      </c>
      <c r="AD23" s="5">
        <f t="shared" ca="1" si="0"/>
        <v>1439.8799925150975</v>
      </c>
      <c r="AE23" s="5">
        <f t="shared" ca="1" si="3"/>
        <v>24337.61322150247</v>
      </c>
      <c r="AF23" s="114">
        <f t="shared" si="1"/>
        <v>17500</v>
      </c>
    </row>
    <row r="24" spans="1:32">
      <c r="C24" s="120" t="s">
        <v>458</v>
      </c>
      <c r="D24" s="38"/>
      <c r="E24" s="38"/>
      <c r="F24" s="29"/>
      <c r="H24" s="53" t="s">
        <v>283</v>
      </c>
      <c r="I24" s="12">
        <f t="shared" si="2"/>
        <v>19.5</v>
      </c>
      <c r="J24" s="150">
        <v>0.16</v>
      </c>
      <c r="K24" s="150">
        <v>0.16</v>
      </c>
      <c r="L24" s="150">
        <v>0.16</v>
      </c>
      <c r="M24" s="151">
        <v>0.16</v>
      </c>
      <c r="AC24" s="100">
        <v>20</v>
      </c>
      <c r="AD24" s="5">
        <f t="shared" ca="1" si="0"/>
        <v>1458.7316944487038</v>
      </c>
      <c r="AE24" s="5">
        <f t="shared" ca="1" si="3"/>
        <v>25796.344915951173</v>
      </c>
      <c r="AF24" s="114">
        <f t="shared" si="1"/>
        <v>17500</v>
      </c>
    </row>
    <row r="25" spans="1:32">
      <c r="A25" s="119"/>
      <c r="B25" s="119"/>
      <c r="C25" s="27" t="s">
        <v>459</v>
      </c>
      <c r="D25" s="123">
        <v>298.14999999999998</v>
      </c>
      <c r="E25" s="38" t="s">
        <v>460</v>
      </c>
      <c r="F25" s="29"/>
      <c r="H25" s="53" t="s">
        <v>284</v>
      </c>
      <c r="I25" s="12">
        <f t="shared" si="2"/>
        <v>20.5</v>
      </c>
      <c r="J25" s="150">
        <v>0.16</v>
      </c>
      <c r="K25" s="150">
        <v>0.16</v>
      </c>
      <c r="L25" s="150">
        <v>0.16</v>
      </c>
      <c r="M25" s="151">
        <v>0.16</v>
      </c>
      <c r="AC25" s="100">
        <v>21</v>
      </c>
      <c r="AD25" s="5">
        <f t="shared" ca="1" si="0"/>
        <v>1477.7615124626482</v>
      </c>
      <c r="AE25" s="5">
        <f t="shared" ca="1" si="3"/>
        <v>27274.106428413819</v>
      </c>
      <c r="AF25" s="114">
        <f t="shared" si="1"/>
        <v>17500</v>
      </c>
    </row>
    <row r="26" spans="1:32">
      <c r="C26" s="124"/>
      <c r="D26" s="76"/>
      <c r="E26" s="36"/>
      <c r="F26" s="29"/>
      <c r="H26" s="53" t="s">
        <v>285</v>
      </c>
      <c r="I26" s="12">
        <f t="shared" si="2"/>
        <v>21.5</v>
      </c>
      <c r="J26" s="150">
        <v>0.16</v>
      </c>
      <c r="K26" s="150">
        <v>0.16</v>
      </c>
      <c r="L26" s="150">
        <v>0.16</v>
      </c>
      <c r="M26" s="151">
        <v>0.16</v>
      </c>
      <c r="AC26" s="100">
        <v>22</v>
      </c>
      <c r="AD26" s="5">
        <f t="shared" ca="1" si="0"/>
        <v>1496.969030519371</v>
      </c>
      <c r="AE26" s="5">
        <f t="shared" ca="1" si="3"/>
        <v>28771.075458933192</v>
      </c>
      <c r="AF26" s="114">
        <f t="shared" si="1"/>
        <v>17500</v>
      </c>
    </row>
    <row r="27" spans="1:32">
      <c r="C27" s="124"/>
      <c r="D27" s="76"/>
      <c r="E27" s="36"/>
      <c r="F27" s="29"/>
      <c r="H27" s="53" t="s">
        <v>286</v>
      </c>
      <c r="I27" s="12">
        <f t="shared" si="2"/>
        <v>22.5</v>
      </c>
      <c r="J27" s="150">
        <v>0.16</v>
      </c>
      <c r="K27" s="150">
        <v>0.16</v>
      </c>
      <c r="L27" s="150">
        <v>0.16</v>
      </c>
      <c r="M27" s="151">
        <v>0.16</v>
      </c>
      <c r="AC27" s="100">
        <v>23</v>
      </c>
      <c r="AD27" s="5">
        <f t="shared" ca="1" si="0"/>
        <v>1516.3537446933774</v>
      </c>
      <c r="AE27" s="5">
        <f t="shared" ca="1" si="3"/>
        <v>30287.429203626569</v>
      </c>
      <c r="AF27" s="114">
        <f t="shared" si="1"/>
        <v>17500</v>
      </c>
    </row>
    <row r="28" spans="1:32" ht="15.75" thickBot="1">
      <c r="C28" s="125"/>
      <c r="D28" s="126"/>
      <c r="E28" s="127"/>
      <c r="F28" s="42"/>
      <c r="H28" s="54" t="s">
        <v>287</v>
      </c>
      <c r="I28" s="55">
        <f t="shared" si="2"/>
        <v>23.5</v>
      </c>
      <c r="J28" s="152">
        <v>0.16</v>
      </c>
      <c r="K28" s="152">
        <v>0.16</v>
      </c>
      <c r="L28" s="152">
        <v>0.16</v>
      </c>
      <c r="M28" s="153">
        <v>0.16</v>
      </c>
      <c r="AC28" s="100">
        <v>24</v>
      </c>
      <c r="AD28" s="5">
        <f t="shared" ca="1" si="0"/>
        <v>1535.9150598221365</v>
      </c>
      <c r="AE28" s="5">
        <f t="shared" ca="1" si="3"/>
        <v>31823.344263448704</v>
      </c>
      <c r="AF28" s="114">
        <f t="shared" si="1"/>
        <v>17500</v>
      </c>
    </row>
    <row r="29" spans="1:32">
      <c r="C29" s="11"/>
      <c r="D29" s="113"/>
      <c r="E29" s="11"/>
      <c r="H29" s="171" t="s">
        <v>573</v>
      </c>
      <c r="I29" s="171"/>
      <c r="J29" s="171"/>
      <c r="K29" s="171"/>
      <c r="L29" s="171"/>
      <c r="M29" s="171"/>
      <c r="AC29" s="100">
        <v>25</v>
      </c>
      <c r="AD29" s="5">
        <f t="shared" ca="1" si="0"/>
        <v>1555.6522860581686</v>
      </c>
      <c r="AE29" s="5">
        <f t="shared" ca="1" si="3"/>
        <v>33378.996549506875</v>
      </c>
      <c r="AF29" s="114">
        <f t="shared" si="1"/>
        <v>17500</v>
      </c>
    </row>
    <row r="30" spans="1:32">
      <c r="C30" s="11"/>
      <c r="D30" s="113"/>
      <c r="E30" s="11"/>
    </row>
    <row r="31" spans="1:32">
      <c r="C31" s="11"/>
      <c r="D31" s="113"/>
      <c r="E31" s="11"/>
    </row>
    <row r="32" spans="1:32">
      <c r="C32" s="11"/>
      <c r="D32" s="113"/>
      <c r="E32" s="11"/>
    </row>
    <row r="33" spans="1:158">
      <c r="C33" s="11"/>
      <c r="D33" s="113"/>
      <c r="E33" s="11"/>
    </row>
    <row r="34" spans="1:158">
      <c r="C34" s="11"/>
      <c r="D34" s="113"/>
      <c r="E34" s="11"/>
    </row>
    <row r="35" spans="1:158">
      <c r="DH35" s="170" t="s">
        <v>438</v>
      </c>
      <c r="DI35" s="170"/>
      <c r="DJ35" s="170"/>
      <c r="DK35" s="170"/>
      <c r="DL35" s="170"/>
      <c r="DM35" s="170"/>
      <c r="DN35" s="170"/>
      <c r="DO35" s="170"/>
      <c r="DP35" s="170"/>
      <c r="DQ35" s="170"/>
      <c r="DR35" s="170"/>
      <c r="DS35" s="170"/>
    </row>
    <row r="36" spans="1:158">
      <c r="A36" s="101" t="s">
        <v>61</v>
      </c>
      <c r="B36" s="101" t="s">
        <v>62</v>
      </c>
      <c r="C36" s="56" t="s">
        <v>462</v>
      </c>
      <c r="J36" t="s">
        <v>320</v>
      </c>
      <c r="K36" t="s">
        <v>323</v>
      </c>
      <c r="L36" t="s">
        <v>320</v>
      </c>
      <c r="M36" t="s">
        <v>323</v>
      </c>
      <c r="N36" t="s">
        <v>320</v>
      </c>
      <c r="O36" t="s">
        <v>323</v>
      </c>
      <c r="P36" t="s">
        <v>320</v>
      </c>
      <c r="Q36" t="s">
        <v>323</v>
      </c>
      <c r="AH36" s="2"/>
      <c r="AI36" s="2"/>
      <c r="AO36">
        <v>1</v>
      </c>
      <c r="AP36">
        <v>2</v>
      </c>
      <c r="AQ36">
        <v>3</v>
      </c>
      <c r="AR36">
        <v>4</v>
      </c>
      <c r="AS36">
        <v>5</v>
      </c>
      <c r="AT36">
        <v>6</v>
      </c>
      <c r="AU36">
        <v>7</v>
      </c>
      <c r="AV36">
        <v>8</v>
      </c>
      <c r="AW36">
        <v>9</v>
      </c>
      <c r="AX36">
        <v>10</v>
      </c>
      <c r="AY36">
        <v>11</v>
      </c>
      <c r="AZ36">
        <v>12</v>
      </c>
      <c r="BA36">
        <v>13</v>
      </c>
      <c r="BB36">
        <v>14</v>
      </c>
      <c r="BC36">
        <v>15</v>
      </c>
      <c r="BD36">
        <v>16</v>
      </c>
      <c r="BE36">
        <v>17</v>
      </c>
      <c r="BF36">
        <v>18</v>
      </c>
      <c r="BG36">
        <v>19</v>
      </c>
      <c r="BH36">
        <v>20</v>
      </c>
      <c r="BI36">
        <v>21</v>
      </c>
      <c r="BJ36">
        <v>22</v>
      </c>
      <c r="BK36">
        <v>23</v>
      </c>
      <c r="BL36">
        <v>24</v>
      </c>
      <c r="BM36">
        <v>25</v>
      </c>
      <c r="BN36">
        <v>26</v>
      </c>
      <c r="BO36">
        <v>27</v>
      </c>
      <c r="BP36">
        <v>28</v>
      </c>
      <c r="BQ36">
        <v>29</v>
      </c>
      <c r="BR36">
        <v>30</v>
      </c>
      <c r="BS36">
        <v>31</v>
      </c>
      <c r="BT36">
        <v>32</v>
      </c>
      <c r="BU36">
        <v>33</v>
      </c>
      <c r="BV36">
        <v>34</v>
      </c>
      <c r="BW36">
        <v>35</v>
      </c>
      <c r="BX36">
        <v>36</v>
      </c>
      <c r="BY36">
        <v>37</v>
      </c>
      <c r="BZ36">
        <v>38</v>
      </c>
      <c r="CA36">
        <v>39</v>
      </c>
      <c r="CB36">
        <v>40</v>
      </c>
      <c r="CC36">
        <v>41</v>
      </c>
      <c r="CD36">
        <v>42</v>
      </c>
      <c r="CE36">
        <v>43</v>
      </c>
      <c r="CF36">
        <v>44</v>
      </c>
      <c r="CG36">
        <v>45</v>
      </c>
      <c r="CH36">
        <v>46</v>
      </c>
      <c r="CI36">
        <v>47</v>
      </c>
      <c r="CJ36">
        <v>48</v>
      </c>
      <c r="DH36">
        <f>VLOOKUP($D$6,$CM$39:$DA$227,12,FALSE)</f>
        <v>5</v>
      </c>
      <c r="DI36">
        <f>VLOOKUP($D$6,$CM$39:$DA$227,13,FALSE)</f>
        <v>6</v>
      </c>
      <c r="DJ36">
        <f>VLOOKUP($D$6,$CM$39:$DA$227,14,FALSE)</f>
        <v>7</v>
      </c>
      <c r="DK36">
        <f>VLOOKUP($D$6,$CM$39:$DA$227,15,FALSE)</f>
        <v>8</v>
      </c>
      <c r="DL36">
        <f>VLOOKUP($D$6,$CM$39:$DA$227,12,FALSE)</f>
        <v>5</v>
      </c>
      <c r="DM36">
        <f>VLOOKUP($D$6,$CM$39:$DA$227,13,FALSE)</f>
        <v>6</v>
      </c>
      <c r="DN36">
        <f>VLOOKUP($D$6,$CM$39:$DA$227,14,FALSE)</f>
        <v>7</v>
      </c>
      <c r="DO36">
        <f>VLOOKUP($D$6,$CM$39:$DA$227,15,FALSE)</f>
        <v>8</v>
      </c>
      <c r="DP36">
        <f>VLOOKUP($D$6,$CM$39:$DA$227,12,FALSE)</f>
        <v>5</v>
      </c>
      <c r="DQ36">
        <f>VLOOKUP($D$6,$CM$39:$DA$227,13,FALSE)</f>
        <v>6</v>
      </c>
      <c r="DR36">
        <f>VLOOKUP($D$6,$CM$39:$DA$227,14,FALSE)</f>
        <v>7</v>
      </c>
      <c r="DS36">
        <f>VLOOKUP($D$6,$CM$39:$DA$227,15,FALSE)</f>
        <v>8</v>
      </c>
      <c r="DU36" s="170" t="s">
        <v>439</v>
      </c>
      <c r="DV36" s="170"/>
      <c r="DW36" s="170"/>
      <c r="DX36" s="170"/>
      <c r="DY36" s="170"/>
      <c r="DZ36" s="170"/>
      <c r="EA36" s="170"/>
      <c r="EB36" s="170"/>
      <c r="EC36" s="170"/>
      <c r="EF36" s="170" t="s">
        <v>440</v>
      </c>
      <c r="EG36" s="170"/>
      <c r="EH36" s="170"/>
      <c r="EI36" s="170"/>
      <c r="EJ36" s="170"/>
      <c r="EK36" s="170"/>
      <c r="EL36" s="170"/>
      <c r="EM36" s="170"/>
      <c r="EP36" s="170" t="s">
        <v>441</v>
      </c>
      <c r="EQ36" s="170"/>
      <c r="ER36" s="170"/>
      <c r="ES36" s="170"/>
      <c r="ET36" s="170"/>
      <c r="EU36" s="170"/>
      <c r="EV36" s="170"/>
      <c r="EW36" s="170"/>
    </row>
    <row r="37" spans="1:158">
      <c r="A37" s="167" t="s">
        <v>584</v>
      </c>
      <c r="B37" s="167" t="s">
        <v>592</v>
      </c>
      <c r="C37" t="s">
        <v>453</v>
      </c>
      <c r="D37" s="110">
        <f>VLOOKUP($D$6,$CM$39:$CS$227,4,FALSE)</f>
        <v>0.30099999999999993</v>
      </c>
      <c r="F37" t="s">
        <v>521</v>
      </c>
      <c r="J37" s="2">
        <f>VLOOKUP($D$5,$AI$40:$AK$61,2,FALSE)</f>
        <v>12</v>
      </c>
      <c r="K37" s="2">
        <f>VLOOKUP($D$5,$AI$40:$AK$61,3,FALSE)</f>
        <v>13</v>
      </c>
      <c r="L37" s="2">
        <f>VLOOKUP($D$5,$AI$40:$AK$61,2,FALSE)</f>
        <v>12</v>
      </c>
      <c r="M37" s="2">
        <f>VLOOKUP($D$5,$AI$40:$AK$61,3,FALSE)</f>
        <v>13</v>
      </c>
      <c r="N37" s="2">
        <f>VLOOKUP($D$5,$AI$40:$AK$61,2,FALSE)</f>
        <v>12</v>
      </c>
      <c r="O37" s="2">
        <f>VLOOKUP($D$5,$AI$40:$AK$61,3,FALSE)</f>
        <v>13</v>
      </c>
      <c r="P37" s="2">
        <f>VLOOKUP($D$5,$AI$40:$AK$61,2,FALSE)</f>
        <v>12</v>
      </c>
      <c r="Q37" s="2">
        <f>VLOOKUP($D$5,$AI$40:$AK$61,3,FALSE)</f>
        <v>13</v>
      </c>
      <c r="AH37" s="2"/>
      <c r="AI37" s="2"/>
      <c r="AJ37" s="2"/>
      <c r="AK37" s="2"/>
      <c r="AL37" s="174"/>
      <c r="AM37" s="174"/>
      <c r="AN37" s="2"/>
      <c r="AO37" s="170" t="s">
        <v>0</v>
      </c>
      <c r="AP37" s="170"/>
      <c r="AQ37" s="170"/>
      <c r="AR37" s="170"/>
      <c r="AS37" s="170"/>
      <c r="AT37" s="170"/>
      <c r="AU37" s="170"/>
      <c r="AV37" s="170"/>
      <c r="AW37" s="170"/>
      <c r="AX37" s="170"/>
      <c r="AY37" s="170"/>
      <c r="AZ37" s="170"/>
      <c r="BA37" s="170"/>
      <c r="BB37" s="170" t="s">
        <v>0</v>
      </c>
      <c r="BC37" s="170"/>
      <c r="BD37" s="170"/>
      <c r="BE37" s="170"/>
      <c r="BF37" s="170"/>
      <c r="BG37" s="170"/>
      <c r="BH37" s="170"/>
      <c r="BI37" s="170"/>
      <c r="BJ37" s="170"/>
      <c r="BK37" s="170"/>
      <c r="BL37" s="170"/>
      <c r="BM37" s="170"/>
      <c r="BN37" s="170"/>
      <c r="BO37" s="170" t="s">
        <v>0</v>
      </c>
      <c r="BP37" s="170"/>
      <c r="BQ37" s="170"/>
      <c r="BR37" s="170"/>
      <c r="BS37" s="170"/>
      <c r="BT37" s="170"/>
      <c r="BU37" s="170"/>
      <c r="BV37" s="170"/>
      <c r="BW37" s="170"/>
      <c r="BX37" s="170"/>
      <c r="BY37" s="170"/>
      <c r="BZ37" s="170" t="s">
        <v>0</v>
      </c>
      <c r="CA37" s="170"/>
      <c r="CB37" s="170"/>
      <c r="CC37" s="170"/>
      <c r="CD37" s="170"/>
      <c r="CE37" s="170"/>
      <c r="CF37" s="170"/>
      <c r="CG37" s="170"/>
      <c r="CH37" s="170"/>
      <c r="CI37" s="170"/>
      <c r="CJ37" s="170"/>
      <c r="CN37" s="177" t="s">
        <v>538</v>
      </c>
      <c r="CO37" s="177"/>
      <c r="CP37" s="177" t="s">
        <v>539</v>
      </c>
      <c r="CQ37" s="177"/>
      <c r="CR37" s="177"/>
      <c r="CS37" s="177"/>
      <c r="CT37" s="170" t="s">
        <v>397</v>
      </c>
      <c r="CU37" s="170"/>
      <c r="CV37" s="170"/>
      <c r="CW37" s="170"/>
      <c r="CX37" s="170" t="s">
        <v>431</v>
      </c>
      <c r="CY37" s="170"/>
      <c r="CZ37" s="170"/>
      <c r="DA37" s="170"/>
      <c r="DB37" s="99"/>
      <c r="DD37" s="56" t="s">
        <v>423</v>
      </c>
      <c r="DE37" s="56" t="s">
        <v>424</v>
      </c>
      <c r="DH37" s="175" t="s">
        <v>437</v>
      </c>
      <c r="DI37" s="175"/>
      <c r="DJ37" s="175"/>
      <c r="DK37" s="175"/>
      <c r="DL37" s="175" t="s">
        <v>432</v>
      </c>
      <c r="DM37" s="175"/>
      <c r="DN37" s="175"/>
      <c r="DO37" s="175"/>
      <c r="DP37" s="175" t="s">
        <v>433</v>
      </c>
      <c r="DQ37" s="175"/>
      <c r="DR37" s="175"/>
      <c r="DS37" s="175"/>
      <c r="DV37" s="170" t="s">
        <v>434</v>
      </c>
      <c r="DW37" s="170"/>
      <c r="DX37" s="170"/>
      <c r="DY37" s="170"/>
      <c r="DZ37" s="56" t="s">
        <v>435</v>
      </c>
      <c r="EA37" s="56" t="s">
        <v>436</v>
      </c>
      <c r="EB37" s="56" t="s">
        <v>436</v>
      </c>
      <c r="EC37" s="56" t="s">
        <v>435</v>
      </c>
      <c r="EF37" s="170" t="s">
        <v>434</v>
      </c>
      <c r="EG37" s="170"/>
      <c r="EH37" s="170"/>
      <c r="EI37" s="170"/>
      <c r="EJ37" s="56" t="s">
        <v>435</v>
      </c>
      <c r="EK37" s="56" t="s">
        <v>436</v>
      </c>
      <c r="EL37" s="56" t="s">
        <v>436</v>
      </c>
      <c r="EM37" s="56" t="s">
        <v>435</v>
      </c>
      <c r="EP37" s="170" t="s">
        <v>434</v>
      </c>
      <c r="EQ37" s="170"/>
      <c r="ER37" s="170"/>
      <c r="ES37" s="170"/>
      <c r="ET37" s="56" t="s">
        <v>435</v>
      </c>
      <c r="EU37" s="56" t="s">
        <v>436</v>
      </c>
      <c r="EV37" s="56" t="s">
        <v>436</v>
      </c>
      <c r="EW37" s="56" t="s">
        <v>435</v>
      </c>
      <c r="EY37" s="170" t="s">
        <v>479</v>
      </c>
      <c r="EZ37" s="170"/>
      <c r="FA37" s="170"/>
      <c r="FB37" s="170"/>
    </row>
    <row r="38" spans="1:158">
      <c r="A38" s="167" t="s">
        <v>584</v>
      </c>
      <c r="B38" s="167" t="s">
        <v>592</v>
      </c>
      <c r="C38" t="s">
        <v>454</v>
      </c>
      <c r="D38" s="110">
        <f>VLOOKUP($D$6,$CM$39:$CS$227,5,FALSE)</f>
        <v>0.39899999999999997</v>
      </c>
      <c r="F38" t="s">
        <v>521</v>
      </c>
      <c r="J38" s="174" t="s">
        <v>0</v>
      </c>
      <c r="K38" s="174"/>
      <c r="L38" s="174" t="s">
        <v>3</v>
      </c>
      <c r="M38" s="174"/>
      <c r="N38" s="174" t="s">
        <v>4</v>
      </c>
      <c r="O38" s="174"/>
      <c r="P38" s="174" t="s">
        <v>5</v>
      </c>
      <c r="Q38" s="174"/>
      <c r="S38" s="174" t="s">
        <v>0</v>
      </c>
      <c r="T38" s="174"/>
      <c r="U38" s="174"/>
      <c r="V38" s="174" t="s">
        <v>3</v>
      </c>
      <c r="W38" s="174"/>
      <c r="X38" s="174"/>
      <c r="Y38" s="174" t="s">
        <v>4</v>
      </c>
      <c r="Z38" s="174"/>
      <c r="AA38" s="174"/>
      <c r="AB38" s="174" t="s">
        <v>5</v>
      </c>
      <c r="AC38" s="174"/>
      <c r="AD38" s="174"/>
      <c r="AG38" s="2"/>
      <c r="AH38" s="2"/>
      <c r="AP38" s="174" t="s">
        <v>7</v>
      </c>
      <c r="AQ38" s="174"/>
      <c r="AR38" s="174" t="s">
        <v>60</v>
      </c>
      <c r="AS38" s="174"/>
      <c r="AT38" s="174" t="s">
        <v>8</v>
      </c>
      <c r="AU38" s="174"/>
      <c r="AV38" s="174" t="s">
        <v>12</v>
      </c>
      <c r="AW38" s="174"/>
      <c r="AX38" s="174" t="s">
        <v>9</v>
      </c>
      <c r="AY38" s="174"/>
      <c r="AZ38" s="174" t="s">
        <v>10</v>
      </c>
      <c r="BA38" s="174"/>
      <c r="BC38" s="174" t="s">
        <v>25</v>
      </c>
      <c r="BD38" s="174"/>
      <c r="BE38" s="174" t="s">
        <v>26</v>
      </c>
      <c r="BF38" s="174"/>
      <c r="BG38" s="174" t="s">
        <v>27</v>
      </c>
      <c r="BH38" s="174"/>
      <c r="BI38" s="174" t="s">
        <v>39</v>
      </c>
      <c r="BJ38" s="174"/>
      <c r="BK38" s="174" t="s">
        <v>40</v>
      </c>
      <c r="BL38" s="174"/>
      <c r="BM38" s="174" t="s">
        <v>28</v>
      </c>
      <c r="BN38" s="174"/>
      <c r="BP38" s="174" t="s">
        <v>41</v>
      </c>
      <c r="BQ38" s="174"/>
      <c r="BR38" s="174" t="s">
        <v>298</v>
      </c>
      <c r="BS38" s="174"/>
      <c r="BT38" s="174" t="s">
        <v>42</v>
      </c>
      <c r="BU38" s="174"/>
      <c r="BV38" s="174" t="s">
        <v>43</v>
      </c>
      <c r="BW38" s="174"/>
      <c r="BX38" s="174" t="s">
        <v>52</v>
      </c>
      <c r="BY38" s="174"/>
      <c r="CA38" s="174" t="s">
        <v>53</v>
      </c>
      <c r="CB38" s="174"/>
      <c r="CC38" s="174" t="s">
        <v>54</v>
      </c>
      <c r="CD38" s="174"/>
      <c r="CE38" s="174" t="s">
        <v>55</v>
      </c>
      <c r="CF38" s="174"/>
      <c r="CG38" s="174" t="s">
        <v>56</v>
      </c>
      <c r="CH38" s="174"/>
      <c r="CI38" s="174" t="s">
        <v>57</v>
      </c>
      <c r="CJ38" s="174"/>
      <c r="CM38" s="14" t="s">
        <v>67</v>
      </c>
      <c r="CN38" s="106" t="s">
        <v>310</v>
      </c>
      <c r="CO38" s="106" t="s">
        <v>311</v>
      </c>
      <c r="CP38" s="14" t="s">
        <v>0</v>
      </c>
      <c r="CQ38" s="14" t="s">
        <v>3</v>
      </c>
      <c r="CR38" s="14" t="s">
        <v>4</v>
      </c>
      <c r="CS38" s="14" t="s">
        <v>5</v>
      </c>
      <c r="CT38" s="14" t="s">
        <v>0</v>
      </c>
      <c r="CU38" s="14" t="s">
        <v>3</v>
      </c>
      <c r="CV38" s="14" t="s">
        <v>4</v>
      </c>
      <c r="CW38" s="14" t="s">
        <v>5</v>
      </c>
      <c r="CX38" s="14" t="s">
        <v>0</v>
      </c>
      <c r="CY38" s="14" t="s">
        <v>3</v>
      </c>
      <c r="CZ38" s="14" t="s">
        <v>4</v>
      </c>
      <c r="DA38" s="14" t="s">
        <v>5</v>
      </c>
      <c r="DB38" s="103" t="s">
        <v>473</v>
      </c>
      <c r="DD38" s="13" t="s">
        <v>402</v>
      </c>
      <c r="DE38" s="19">
        <v>0.23899999999999999</v>
      </c>
      <c r="DG38" s="56" t="s">
        <v>430</v>
      </c>
      <c r="DH38" s="14" t="s">
        <v>0</v>
      </c>
      <c r="DI38" s="14" t="s">
        <v>3</v>
      </c>
      <c r="DJ38" s="14" t="s">
        <v>4</v>
      </c>
      <c r="DK38" s="14" t="s">
        <v>5</v>
      </c>
      <c r="DL38" s="14" t="s">
        <v>0</v>
      </c>
      <c r="DM38" s="14" t="s">
        <v>3</v>
      </c>
      <c r="DN38" s="14" t="s">
        <v>4</v>
      </c>
      <c r="DO38" s="14" t="s">
        <v>5</v>
      </c>
      <c r="DP38" s="14" t="s">
        <v>0</v>
      </c>
      <c r="DQ38" s="14" t="s">
        <v>3</v>
      </c>
      <c r="DR38" s="14" t="s">
        <v>4</v>
      </c>
      <c r="DS38" s="14" t="s">
        <v>5</v>
      </c>
      <c r="DU38" s="58" t="s">
        <v>430</v>
      </c>
      <c r="DV38" s="58" t="s">
        <v>442</v>
      </c>
      <c r="DW38" s="103" t="s">
        <v>443</v>
      </c>
      <c r="DX38" s="103" t="s">
        <v>444</v>
      </c>
      <c r="DY38" s="103" t="s">
        <v>445</v>
      </c>
      <c r="DZ38" s="58" t="s">
        <v>0</v>
      </c>
      <c r="EA38" s="103" t="s">
        <v>3</v>
      </c>
      <c r="EB38" s="103" t="s">
        <v>4</v>
      </c>
      <c r="EC38" s="103" t="s">
        <v>5</v>
      </c>
      <c r="EE38" s="58" t="s">
        <v>430</v>
      </c>
      <c r="EF38" s="99" t="s">
        <v>442</v>
      </c>
      <c r="EG38" s="99" t="s">
        <v>443</v>
      </c>
      <c r="EH38" s="99" t="s">
        <v>444</v>
      </c>
      <c r="EI38" s="99" t="s">
        <v>445</v>
      </c>
      <c r="EJ38" s="99" t="s">
        <v>0</v>
      </c>
      <c r="EK38" s="99" t="s">
        <v>3</v>
      </c>
      <c r="EL38" s="99" t="s">
        <v>4</v>
      </c>
      <c r="EM38" s="99" t="s">
        <v>5</v>
      </c>
      <c r="EO38" s="58" t="s">
        <v>430</v>
      </c>
      <c r="EP38" s="99" t="s">
        <v>442</v>
      </c>
      <c r="EQ38" s="99" t="s">
        <v>443</v>
      </c>
      <c r="ER38" s="99" t="s">
        <v>444</v>
      </c>
      <c r="ES38" s="99" t="s">
        <v>445</v>
      </c>
      <c r="ET38" s="99" t="s">
        <v>0</v>
      </c>
      <c r="EU38" s="99" t="s">
        <v>3</v>
      </c>
      <c r="EV38" s="99" t="s">
        <v>4</v>
      </c>
      <c r="EW38" s="99" t="s">
        <v>5</v>
      </c>
      <c r="EZ38" s="99" t="s">
        <v>474</v>
      </c>
      <c r="FA38" s="99" t="s">
        <v>477</v>
      </c>
      <c r="FB38" s="99" t="s">
        <v>478</v>
      </c>
    </row>
    <row r="39" spans="1:158">
      <c r="A39" s="167" t="s">
        <v>584</v>
      </c>
      <c r="B39" s="167" t="s">
        <v>592</v>
      </c>
      <c r="C39" t="s">
        <v>455</v>
      </c>
      <c r="D39" s="110">
        <f>VLOOKUP($D$6,$CM$39:$CS$227,6,FALSE)</f>
        <v>0.378</v>
      </c>
      <c r="F39" t="s">
        <v>521</v>
      </c>
      <c r="I39" s="1" t="s">
        <v>2</v>
      </c>
      <c r="J39" s="10" t="s">
        <v>290</v>
      </c>
      <c r="K39" s="10" t="s">
        <v>291</v>
      </c>
      <c r="L39" s="10" t="s">
        <v>292</v>
      </c>
      <c r="M39" s="10" t="s">
        <v>293</v>
      </c>
      <c r="N39" s="10" t="s">
        <v>294</v>
      </c>
      <c r="O39" s="10" t="s">
        <v>295</v>
      </c>
      <c r="P39" s="10" t="s">
        <v>296</v>
      </c>
      <c r="Q39" s="10" t="s">
        <v>297</v>
      </c>
      <c r="S39" s="23" t="s">
        <v>326</v>
      </c>
      <c r="T39" s="8" t="s">
        <v>64</v>
      </c>
      <c r="U39" s="8" t="s">
        <v>65</v>
      </c>
      <c r="V39" s="23" t="s">
        <v>326</v>
      </c>
      <c r="W39" s="8" t="s">
        <v>64</v>
      </c>
      <c r="X39" s="8" t="s">
        <v>65</v>
      </c>
      <c r="Y39" s="23" t="s">
        <v>326</v>
      </c>
      <c r="Z39" s="8" t="s">
        <v>64</v>
      </c>
      <c r="AA39" s="8" t="s">
        <v>65</v>
      </c>
      <c r="AB39" s="23" t="s">
        <v>326</v>
      </c>
      <c r="AC39" s="8" t="s">
        <v>64</v>
      </c>
      <c r="AD39" s="8" t="s">
        <v>65</v>
      </c>
      <c r="AJ39" t="s">
        <v>1</v>
      </c>
      <c r="AK39" t="s">
        <v>6</v>
      </c>
      <c r="AL39" s="2"/>
      <c r="AM39" s="2"/>
      <c r="AO39" s="1" t="s">
        <v>2</v>
      </c>
      <c r="AP39" t="s">
        <v>13</v>
      </c>
      <c r="AQ39" t="s">
        <v>14</v>
      </c>
      <c r="AR39" t="s">
        <v>15</v>
      </c>
      <c r="AS39" t="s">
        <v>16</v>
      </c>
      <c r="AT39" t="s">
        <v>17</v>
      </c>
      <c r="AU39" t="s">
        <v>18</v>
      </c>
      <c r="AV39" t="s">
        <v>19</v>
      </c>
      <c r="AW39" t="s">
        <v>20</v>
      </c>
      <c r="AX39" t="s">
        <v>21</v>
      </c>
      <c r="AY39" t="s">
        <v>22</v>
      </c>
      <c r="AZ39" t="s">
        <v>23</v>
      </c>
      <c r="BA39" t="s">
        <v>24</v>
      </c>
      <c r="BB39" s="4" t="s">
        <v>2</v>
      </c>
      <c r="BC39" t="s">
        <v>29</v>
      </c>
      <c r="BD39" t="s">
        <v>30</v>
      </c>
      <c r="BE39" t="s">
        <v>15</v>
      </c>
      <c r="BF39" t="s">
        <v>16</v>
      </c>
      <c r="BG39" t="s">
        <v>31</v>
      </c>
      <c r="BH39" t="s">
        <v>32</v>
      </c>
      <c r="BI39" t="s">
        <v>33</v>
      </c>
      <c r="BJ39" t="s">
        <v>34</v>
      </c>
      <c r="BK39" t="s">
        <v>35</v>
      </c>
      <c r="BL39" t="s">
        <v>36</v>
      </c>
      <c r="BM39" t="s">
        <v>37</v>
      </c>
      <c r="BN39" t="s">
        <v>38</v>
      </c>
      <c r="BO39" s="4" t="s">
        <v>2</v>
      </c>
      <c r="BP39" t="s">
        <v>44</v>
      </c>
      <c r="BQ39" t="s">
        <v>45</v>
      </c>
      <c r="BR39" t="s">
        <v>31</v>
      </c>
      <c r="BS39" t="s">
        <v>32</v>
      </c>
      <c r="BT39" t="s">
        <v>48</v>
      </c>
      <c r="BU39" t="s">
        <v>49</v>
      </c>
      <c r="BV39" t="s">
        <v>23</v>
      </c>
      <c r="BW39" t="s">
        <v>24</v>
      </c>
      <c r="BX39" t="s">
        <v>50</v>
      </c>
      <c r="BY39" t="s">
        <v>51</v>
      </c>
      <c r="BZ39" s="4" t="s">
        <v>2</v>
      </c>
      <c r="CA39" t="s">
        <v>46</v>
      </c>
      <c r="CB39" t="s">
        <v>47</v>
      </c>
      <c r="CC39" t="s">
        <v>58</v>
      </c>
      <c r="CD39" t="s">
        <v>59</v>
      </c>
      <c r="CE39" t="s">
        <v>48</v>
      </c>
      <c r="CF39" t="s">
        <v>49</v>
      </c>
      <c r="CG39" t="s">
        <v>23</v>
      </c>
      <c r="CH39" t="s">
        <v>24</v>
      </c>
      <c r="CI39" t="s">
        <v>37</v>
      </c>
      <c r="CJ39" t="s">
        <v>38</v>
      </c>
      <c r="CM39" s="13" t="s">
        <v>70</v>
      </c>
      <c r="CN39" s="20">
        <v>33.511029999999998</v>
      </c>
      <c r="CO39" s="20">
        <v>-86.775000000000006</v>
      </c>
      <c r="CP39" s="19">
        <v>0.33999999999999997</v>
      </c>
      <c r="CQ39" s="19">
        <v>0.33700000000000008</v>
      </c>
      <c r="CR39" s="19">
        <v>0.35500000000000004</v>
      </c>
      <c r="CS39" s="19">
        <v>0.27800000000000002</v>
      </c>
      <c r="CT39" s="98">
        <v>287.59444444444449</v>
      </c>
      <c r="CU39" s="98">
        <v>300.92777777777781</v>
      </c>
      <c r="CV39" s="98">
        <v>305.92777777777781</v>
      </c>
      <c r="CW39" s="98">
        <v>291.48333333333335</v>
      </c>
      <c r="CX39" s="104">
        <v>5</v>
      </c>
      <c r="CY39" s="104">
        <v>6</v>
      </c>
      <c r="CZ39" s="104">
        <v>7</v>
      </c>
      <c r="DA39" s="104">
        <v>8</v>
      </c>
      <c r="DB39" s="104">
        <v>2</v>
      </c>
      <c r="DD39" s="13" t="s">
        <v>403</v>
      </c>
      <c r="DE39" s="19">
        <v>0.13200000000000001</v>
      </c>
      <c r="DG39">
        <v>0</v>
      </c>
      <c r="DH39" s="5">
        <f ca="1">OFFSET($DU39,0,$DH$36)</f>
        <v>884.17</v>
      </c>
      <c r="DI39" s="5">
        <f ca="1">OFFSET($DU39,0,$DI$36)</f>
        <v>779.32</v>
      </c>
      <c r="DJ39" s="5">
        <f ca="1">OFFSET($DU39,0,$DJ$36)</f>
        <v>771</v>
      </c>
      <c r="DK39" s="5">
        <f ca="1">OFFSET($DU39,0,$DK$36)</f>
        <v>873.5</v>
      </c>
      <c r="DL39" s="5">
        <f ca="1">OFFSET($EE39,0,$DL$36)</f>
        <v>77.459999999999994</v>
      </c>
      <c r="DM39" s="5">
        <f ca="1">OFFSET($EE39,0,$DM$36)</f>
        <v>77.010000000000005</v>
      </c>
      <c r="DN39" s="5">
        <f ca="1">OFFSET($EE39,0,$DN$36)</f>
        <v>76.19</v>
      </c>
      <c r="DO39" s="5">
        <f ca="1">OFFSET($EE39,0,$DO$36)</f>
        <v>76.53</v>
      </c>
      <c r="DP39" s="5">
        <f ca="1">OFFSET($EO39,0,$DP$36)</f>
        <v>33.840000000000003</v>
      </c>
      <c r="DQ39" s="5">
        <f ca="1">OFFSET($EO39,0,$DQ$36)</f>
        <v>31.18</v>
      </c>
      <c r="DR39" s="5">
        <f ca="1">OFFSET($EO39,0,$DR$36)</f>
        <v>30.85</v>
      </c>
      <c r="DS39" s="5">
        <f ca="1">OFFSET($EO39,0,$DS$36)</f>
        <v>33.43</v>
      </c>
      <c r="DT39" s="11"/>
      <c r="DU39" s="3">
        <v>0</v>
      </c>
      <c r="DV39" s="5">
        <v>986.74</v>
      </c>
      <c r="DW39" s="5">
        <v>942.7</v>
      </c>
      <c r="DX39" s="5">
        <v>932.64</v>
      </c>
      <c r="DY39" s="5">
        <v>974.83</v>
      </c>
      <c r="DZ39" s="5">
        <v>884.17</v>
      </c>
      <c r="EA39" s="5">
        <v>779.32</v>
      </c>
      <c r="EB39" s="5">
        <v>771</v>
      </c>
      <c r="EC39" s="5">
        <v>873.5</v>
      </c>
      <c r="EE39" s="3">
        <v>0</v>
      </c>
      <c r="EF39" s="5">
        <v>43.24</v>
      </c>
      <c r="EG39" s="5">
        <v>41.31</v>
      </c>
      <c r="EH39" s="5">
        <v>40.869999999999997</v>
      </c>
      <c r="EI39" s="5">
        <v>42.71</v>
      </c>
      <c r="EJ39" s="5">
        <v>77.459999999999994</v>
      </c>
      <c r="EK39" s="5">
        <v>77.010000000000005</v>
      </c>
      <c r="EL39" s="5">
        <v>76.19</v>
      </c>
      <c r="EM39" s="5">
        <v>76.53</v>
      </c>
      <c r="EO39" s="3">
        <v>0</v>
      </c>
      <c r="EP39" s="5">
        <v>33.96</v>
      </c>
      <c r="EQ39" s="5">
        <v>32.19</v>
      </c>
      <c r="ER39" s="5">
        <v>31.85</v>
      </c>
      <c r="ES39" s="5">
        <v>33.28</v>
      </c>
      <c r="ET39" s="5">
        <v>33.840000000000003</v>
      </c>
      <c r="EU39" s="5">
        <v>31.18</v>
      </c>
      <c r="EV39" s="5">
        <v>30.85</v>
      </c>
      <c r="EW39" s="5">
        <v>33.43</v>
      </c>
      <c r="EY39" t="s">
        <v>475</v>
      </c>
      <c r="EZ39" s="105">
        <v>0.41399999999999998</v>
      </c>
      <c r="FA39" s="105">
        <v>0.48199999999999998</v>
      </c>
      <c r="FB39" s="105">
        <v>0.48899999999999999</v>
      </c>
    </row>
    <row r="40" spans="1:158">
      <c r="A40" s="167" t="s">
        <v>584</v>
      </c>
      <c r="B40" s="167" t="s">
        <v>592</v>
      </c>
      <c r="C40" t="s">
        <v>456</v>
      </c>
      <c r="D40" s="110">
        <f>VLOOKUP($D$6,$CM$39:$CS$227,7,FALSE)</f>
        <v>0.37999999999999995</v>
      </c>
      <c r="F40" t="s">
        <v>521</v>
      </c>
      <c r="I40">
        <v>0.5</v>
      </c>
      <c r="J40" s="5">
        <f ca="1">OFFSET(AN40,0,$J$37)</f>
        <v>17.95</v>
      </c>
      <c r="K40" s="5">
        <f ca="1">OFFSET(AN40,0,$K$37)</f>
        <v>151.66</v>
      </c>
      <c r="L40" s="5">
        <f ca="1">OFFSET(AN70,0,$L$37)</f>
        <v>14.25</v>
      </c>
      <c r="M40" s="5">
        <f ca="1">OFFSET(AN70,0,$M$37)</f>
        <v>118.48</v>
      </c>
      <c r="N40" s="5">
        <f ca="1">OFFSET(AN100,0,$N$37)</f>
        <v>11.7</v>
      </c>
      <c r="O40" s="5">
        <f ca="1">OFFSET(AN100,0,$O$37)</f>
        <v>118.71</v>
      </c>
      <c r="P40" s="5">
        <f ca="1">OFFSET(AN130,0,$P$37)</f>
        <v>31.32</v>
      </c>
      <c r="Q40" s="5">
        <f ca="1">OFFSET(AN130,0,$Q$37)</f>
        <v>148.61000000000001</v>
      </c>
      <c r="S40">
        <f ca="1">COS(PI()*K40/180)</f>
        <v>-0.88014616296135439</v>
      </c>
      <c r="T40">
        <f ca="1">SIN(PI()*K40/180)</f>
        <v>0.47470278261708659</v>
      </c>
      <c r="U40">
        <f ca="1">PI()*J40/180</f>
        <v>0.31328660073298215</v>
      </c>
      <c r="V40">
        <f ca="1">COS(PI()*M40/180)</f>
        <v>-0.476851966152888</v>
      </c>
      <c r="W40">
        <f ca="1">SIN(PI()*M40/180)</f>
        <v>0.87898361894640842</v>
      </c>
      <c r="X40">
        <f ca="1">PI()*L40/180</f>
        <v>0.24870941840919195</v>
      </c>
      <c r="Y40">
        <f ca="1">COS(PI()*O40/180)</f>
        <v>-0.48037658101396841</v>
      </c>
      <c r="Z40">
        <f ca="1">SIN(PI()*O40/180)</f>
        <v>0.87706233553455604</v>
      </c>
      <c r="AA40">
        <f ca="1">PI()*N40/180</f>
        <v>0.20420352248333654</v>
      </c>
      <c r="AB40">
        <f ca="1">COS(PI()*Q40/180)</f>
        <v>-0.85364171760964602</v>
      </c>
      <c r="AC40">
        <f ca="1">SIN(PI()*Q40/180)</f>
        <v>0.52086065118844727</v>
      </c>
      <c r="AD40">
        <f ca="1">PI()*P40/180</f>
        <v>0.54663712172462398</v>
      </c>
      <c r="AI40" t="s">
        <v>11</v>
      </c>
      <c r="AJ40">
        <v>2</v>
      </c>
      <c r="AK40">
        <v>3</v>
      </c>
      <c r="AN40" s="3"/>
      <c r="AO40">
        <v>0.5</v>
      </c>
      <c r="AP40" s="5">
        <v>353.2</v>
      </c>
      <c r="AQ40" s="5">
        <v>170.55</v>
      </c>
      <c r="AR40" s="5">
        <v>349.66</v>
      </c>
      <c r="AS40" s="5">
        <v>165.82</v>
      </c>
      <c r="AT40" s="5">
        <v>354.64</v>
      </c>
      <c r="AU40" s="5">
        <v>161.07</v>
      </c>
      <c r="AV40" s="5">
        <v>350.62</v>
      </c>
      <c r="AW40" s="5">
        <v>156.15</v>
      </c>
      <c r="AX40" s="5">
        <v>0.38</v>
      </c>
      <c r="AY40" s="5">
        <v>153.52000000000001</v>
      </c>
      <c r="AZ40" s="5">
        <v>17.95</v>
      </c>
      <c r="BA40" s="5">
        <v>151.66</v>
      </c>
      <c r="BB40">
        <v>0.5</v>
      </c>
      <c r="BC40" s="5">
        <v>340.8</v>
      </c>
      <c r="BD40" s="5">
        <v>169.83</v>
      </c>
      <c r="BE40" s="5">
        <v>15.8</v>
      </c>
      <c r="BF40" s="5">
        <v>165.88</v>
      </c>
      <c r="BG40" s="5">
        <v>354.65</v>
      </c>
      <c r="BH40" s="5">
        <v>160.16</v>
      </c>
      <c r="BI40" s="5">
        <v>353.86</v>
      </c>
      <c r="BJ40" s="5">
        <v>155.44</v>
      </c>
      <c r="BK40" s="5">
        <v>1.54</v>
      </c>
      <c r="BL40" s="5">
        <v>151.36000000000001</v>
      </c>
      <c r="BM40" s="5">
        <v>351.24</v>
      </c>
      <c r="BN40" s="5">
        <v>148.01</v>
      </c>
      <c r="BO40">
        <v>0.5</v>
      </c>
      <c r="BP40" s="5">
        <v>353.44</v>
      </c>
      <c r="BQ40" s="5">
        <v>164.07</v>
      </c>
      <c r="BR40" s="5">
        <v>8.9600000000000009</v>
      </c>
      <c r="BS40" s="5">
        <v>160.49</v>
      </c>
      <c r="BT40" s="5">
        <v>1.2</v>
      </c>
      <c r="BU40" s="5">
        <v>157.24</v>
      </c>
      <c r="BV40" s="5">
        <v>0.68</v>
      </c>
      <c r="BW40" s="5">
        <v>153.51</v>
      </c>
      <c r="BX40" s="5">
        <v>355.81</v>
      </c>
      <c r="BY40" s="5">
        <v>148.78</v>
      </c>
      <c r="BZ40">
        <v>0.5</v>
      </c>
      <c r="CA40" s="5">
        <v>22.49</v>
      </c>
      <c r="CB40" s="5">
        <v>162.47</v>
      </c>
      <c r="CC40" s="5">
        <v>11.58</v>
      </c>
      <c r="CD40" s="5">
        <v>159.29</v>
      </c>
      <c r="CE40" s="5">
        <v>21.84</v>
      </c>
      <c r="CF40" s="5">
        <v>155.62</v>
      </c>
      <c r="CG40" s="5">
        <v>1.47</v>
      </c>
      <c r="CH40" s="5">
        <v>153.12</v>
      </c>
      <c r="CI40" s="5">
        <v>3.16</v>
      </c>
      <c r="CJ40" s="5">
        <v>148.72</v>
      </c>
      <c r="CM40" s="13" t="s">
        <v>71</v>
      </c>
      <c r="CN40" s="20">
        <v>30.675049999999999</v>
      </c>
      <c r="CO40" s="20">
        <v>-88.062340000000006</v>
      </c>
      <c r="CP40" s="19">
        <v>0.32599999999999996</v>
      </c>
      <c r="CQ40" s="19">
        <v>0.32700000000000001</v>
      </c>
      <c r="CR40" s="19">
        <v>0.40299999999999991</v>
      </c>
      <c r="CS40" s="19">
        <v>0.30499999999999999</v>
      </c>
      <c r="CT40" s="98">
        <v>290.92777777777781</v>
      </c>
      <c r="CU40" s="98">
        <v>302.59444444444449</v>
      </c>
      <c r="CV40" s="98">
        <v>305.92777777777781</v>
      </c>
      <c r="CW40" s="98">
        <v>294.81666666666672</v>
      </c>
      <c r="CX40" s="104">
        <v>5</v>
      </c>
      <c r="CY40" s="104">
        <v>6</v>
      </c>
      <c r="CZ40" s="104">
        <v>7</v>
      </c>
      <c r="DA40" s="104">
        <v>8</v>
      </c>
      <c r="DB40" s="104">
        <v>2</v>
      </c>
      <c r="DD40" s="13" t="s">
        <v>404</v>
      </c>
      <c r="DE40" s="19">
        <v>0.20699999999999999</v>
      </c>
      <c r="DG40">
        <f>DG39+1</f>
        <v>1</v>
      </c>
      <c r="DH40" s="5">
        <f ca="1">OFFSET($DU40,0,$DH$36)</f>
        <v>884.15</v>
      </c>
      <c r="DI40" s="5">
        <f ca="1">OFFSET($DU40,0,$DI$36)</f>
        <v>779.29</v>
      </c>
      <c r="DJ40" s="5">
        <f ca="1">OFFSET($DU40,0,$DJ$36)</f>
        <v>770.97032027921773</v>
      </c>
      <c r="DK40" s="5">
        <f ca="1">OFFSET($DU40,0,$DK$36)</f>
        <v>873.48024135630021</v>
      </c>
      <c r="DL40" s="5">
        <f t="shared" ref="DL40:DL103" ca="1" si="4">OFFSET($EE40,0,$DL$36)</f>
        <v>77.186999999999998</v>
      </c>
      <c r="DM40" s="5">
        <f t="shared" ref="DM40:DM103" ca="1" si="5">OFFSET($EE40,0,$DM$36)</f>
        <v>76.738333333333344</v>
      </c>
      <c r="DN40" s="5">
        <f t="shared" ref="DN40:DN103" ca="1" si="6">OFFSET($EE40,0,$DN$36)</f>
        <v>75.921333333333337</v>
      </c>
      <c r="DO40" s="5">
        <f t="shared" ref="DO40:DO103" ca="1" si="7">OFFSET($EE40,0,$DO$36)</f>
        <v>76.260000000000005</v>
      </c>
      <c r="DP40" s="5">
        <f t="shared" ref="DP40:DP103" ca="1" si="8">OFFSET($EO40,0,$DP$36)</f>
        <v>33.738</v>
      </c>
      <c r="DQ40" s="5">
        <f t="shared" ref="DQ40:DQ103" ca="1" si="9">OFFSET($EO40,0,$DQ$36)</f>
        <v>31.085000000000001</v>
      </c>
      <c r="DR40" s="5">
        <f t="shared" ref="DR40:DR103" ca="1" si="10">OFFSET($EO40,0,$DR$36)</f>
        <v>30.756</v>
      </c>
      <c r="DS40" s="5">
        <f t="shared" ref="DS40:DS103" ca="1" si="11">OFFSET($EO40,0,$DS$36)</f>
        <v>33.329000000000001</v>
      </c>
      <c r="DU40">
        <f>DU39+1</f>
        <v>1</v>
      </c>
      <c r="DV40" s="5">
        <v>986.72</v>
      </c>
      <c r="DW40" s="5">
        <v>942.68089263635818</v>
      </c>
      <c r="DX40" s="5">
        <v>932.62109654012204</v>
      </c>
      <c r="DY40" s="5">
        <v>974.81024140097702</v>
      </c>
      <c r="DZ40" s="5">
        <v>884.15</v>
      </c>
      <c r="EA40" s="5">
        <v>779.29</v>
      </c>
      <c r="EB40" s="5">
        <v>770.97032027921773</v>
      </c>
      <c r="EC40" s="5">
        <v>873.48024135630021</v>
      </c>
      <c r="EE40">
        <f>EE39+1</f>
        <v>1</v>
      </c>
      <c r="EF40" s="5">
        <v>43.100999999999999</v>
      </c>
      <c r="EG40" s="5">
        <v>41.177</v>
      </c>
      <c r="EH40" s="5">
        <v>40.73833333333333</v>
      </c>
      <c r="EI40" s="5">
        <v>42.573666666666668</v>
      </c>
      <c r="EJ40" s="5">
        <v>77.186999999999998</v>
      </c>
      <c r="EK40" s="5">
        <v>76.738333333333344</v>
      </c>
      <c r="EL40" s="5">
        <v>75.921333333333337</v>
      </c>
      <c r="EM40" s="5">
        <v>76.260000000000005</v>
      </c>
      <c r="EO40">
        <f>EO39+1</f>
        <v>1</v>
      </c>
      <c r="EP40" s="5">
        <v>33.832000000000001</v>
      </c>
      <c r="EQ40" s="5">
        <v>32.092999999999996</v>
      </c>
      <c r="ER40" s="5">
        <v>31.754000000000001</v>
      </c>
      <c r="ES40" s="5">
        <v>33.18</v>
      </c>
      <c r="ET40" s="5">
        <v>33.738</v>
      </c>
      <c r="EU40" s="5">
        <v>31.085000000000001</v>
      </c>
      <c r="EV40" s="5">
        <v>30.756</v>
      </c>
      <c r="EW40" s="5">
        <v>33.329000000000001</v>
      </c>
      <c r="EY40" t="s">
        <v>476</v>
      </c>
      <c r="EZ40" s="105">
        <v>0.60899999999999999</v>
      </c>
      <c r="FA40" s="105">
        <v>0.58399999999999996</v>
      </c>
      <c r="FB40" s="105">
        <v>0.48199999999999998</v>
      </c>
    </row>
    <row r="41" spans="1:158">
      <c r="A41" s="167" t="s">
        <v>584</v>
      </c>
      <c r="B41" s="167" t="s">
        <v>591</v>
      </c>
      <c r="C41" t="s">
        <v>391</v>
      </c>
      <c r="D41" s="109">
        <f>VLOOKUP($D$6,$CM$39:$CW$227,8,FALSE)</f>
        <v>274.81666666666666</v>
      </c>
      <c r="E41" t="s">
        <v>392</v>
      </c>
      <c r="F41" t="s">
        <v>522</v>
      </c>
      <c r="I41">
        <f>I40+1</f>
        <v>1.5</v>
      </c>
      <c r="J41" s="5">
        <f t="shared" ref="J41:J63" ca="1" si="12">OFFSET(AN41,0,$J$37)</f>
        <v>43.83</v>
      </c>
      <c r="K41" s="5">
        <f t="shared" ref="K41:K63" ca="1" si="13">OFFSET(AN41,0,$K$37)</f>
        <v>146.08000000000001</v>
      </c>
      <c r="L41" s="5">
        <f t="shared" ref="L41:L63" ca="1" si="14">OFFSET(AN71,0,$L$37)</f>
        <v>29.65</v>
      </c>
      <c r="M41" s="5">
        <f t="shared" ref="M41:M63" ca="1" si="15">OFFSET(AN71,0,$M$37)</f>
        <v>114.34</v>
      </c>
      <c r="N41" s="5">
        <f t="shared" ref="N41:N63" ca="1" si="16">OFFSET(AN101,0,$N$37)</f>
        <v>27.29</v>
      </c>
      <c r="O41" s="5">
        <f t="shared" ref="O41:O63" ca="1" si="17">OFFSET(AN101,0,$O$37)</f>
        <v>115.01</v>
      </c>
      <c r="P41" s="5">
        <f t="shared" ref="P41:P63" ca="1" si="18">OFFSET(AN131,0,$P$37)</f>
        <v>53.2</v>
      </c>
      <c r="Q41" s="5">
        <f t="shared" ref="Q41:Q63" ca="1" si="19">OFFSET(AN131,0,$Q$37)</f>
        <v>141.29</v>
      </c>
      <c r="S41">
        <f t="shared" ref="S41:S63" ca="1" si="20">COS(PI()*K41/180)</f>
        <v>-0.82981754476130998</v>
      </c>
      <c r="T41">
        <f t="shared" ref="T41:T63" ca="1" si="21">SIN(PI()*K41/180)</f>
        <v>0.55803480393816962</v>
      </c>
      <c r="U41">
        <f t="shared" ref="U41:U63" ca="1" si="22">PI()*J41/180</f>
        <v>0.76497781114911467</v>
      </c>
      <c r="V41">
        <f t="shared" ref="V41:V63" ca="1" si="23">COS(PI()*M41/180)</f>
        <v>-0.41215053778950339</v>
      </c>
      <c r="W41">
        <f t="shared" ref="W41:W63" ca="1" si="24">SIN(PI()*M41/180)</f>
        <v>0.9111157633362641</v>
      </c>
      <c r="X41">
        <f t="shared" ref="X41:X63" ca="1" si="25">PI()*L41/180</f>
        <v>0.51749012321631871</v>
      </c>
      <c r="Y41">
        <f t="shared" ref="Y41:Y63" ca="1" si="26">COS(PI()*O41/180)</f>
        <v>-0.42277643585225455</v>
      </c>
      <c r="Z41">
        <f t="shared" ref="Z41:Z63" ca="1" si="27">SIN(PI()*O41/180)</f>
        <v>0.90623401243170321</v>
      </c>
      <c r="AA41">
        <f t="shared" ref="AA41:AA63" ca="1" si="28">PI()*N41/180</f>
        <v>0.47630035286925254</v>
      </c>
      <c r="AB41">
        <f t="shared" ref="AB41:AB63" ca="1" si="29">COS(PI()*Q41/180)</f>
        <v>-0.78032127002247909</v>
      </c>
      <c r="AC41">
        <f t="shared" ref="AC41:AC63" ca="1" si="30">SIN(PI()*Q41/180)</f>
        <v>0.62537885761393097</v>
      </c>
      <c r="AD41">
        <f t="shared" ref="AD41:AD63" ca="1" si="31">PI()*P41/180</f>
        <v>0.92851516206098339</v>
      </c>
      <c r="AI41" t="s">
        <v>60</v>
      </c>
      <c r="AJ41">
        <v>4</v>
      </c>
      <c r="AK41">
        <v>5</v>
      </c>
      <c r="AO41">
        <f>AO40+1</f>
        <v>1.5</v>
      </c>
      <c r="AP41" s="5">
        <v>56.6</v>
      </c>
      <c r="AQ41" s="5">
        <v>164.07</v>
      </c>
      <c r="AR41" s="5">
        <v>41.73</v>
      </c>
      <c r="AS41" s="5">
        <v>162.04</v>
      </c>
      <c r="AT41" s="5">
        <v>35.409999999999997</v>
      </c>
      <c r="AU41" s="5">
        <v>157.80000000000001</v>
      </c>
      <c r="AV41" s="5">
        <v>25.29</v>
      </c>
      <c r="AW41" s="5">
        <v>154.5</v>
      </c>
      <c r="AX41" s="5">
        <v>30.66</v>
      </c>
      <c r="AY41" s="5">
        <v>150.49</v>
      </c>
      <c r="AZ41" s="5">
        <v>43.83</v>
      </c>
      <c r="BA41" s="5">
        <v>146.08000000000001</v>
      </c>
      <c r="BB41">
        <f>BB40+1</f>
        <v>1.5</v>
      </c>
      <c r="BC41" s="5">
        <v>50.36</v>
      </c>
      <c r="BD41" s="5">
        <v>165.52</v>
      </c>
      <c r="BE41" s="5">
        <v>56.01</v>
      </c>
      <c r="BF41" s="5">
        <v>157.91</v>
      </c>
      <c r="BG41" s="5">
        <v>33.909999999999997</v>
      </c>
      <c r="BH41" s="5">
        <v>157.03</v>
      </c>
      <c r="BI41" s="5">
        <v>27.17</v>
      </c>
      <c r="BJ41" s="5">
        <v>153.29</v>
      </c>
      <c r="BK41" s="5">
        <v>29.89</v>
      </c>
      <c r="BL41" s="5">
        <v>148.44999999999999</v>
      </c>
      <c r="BM41" s="5">
        <v>18.22</v>
      </c>
      <c r="BN41" s="5">
        <v>147.19</v>
      </c>
      <c r="BO41">
        <f>BO40+1</f>
        <v>1.5</v>
      </c>
      <c r="BP41" s="5">
        <v>39.950000000000003</v>
      </c>
      <c r="BQ41" s="5">
        <v>160.16</v>
      </c>
      <c r="BR41" s="5">
        <v>44.52</v>
      </c>
      <c r="BS41" s="5">
        <v>154.83000000000001</v>
      </c>
      <c r="BT41" s="5">
        <v>35.090000000000003</v>
      </c>
      <c r="BU41" s="5">
        <v>153.81</v>
      </c>
      <c r="BV41" s="5">
        <v>30.94</v>
      </c>
      <c r="BW41" s="5">
        <v>150.52000000000001</v>
      </c>
      <c r="BX41" s="5">
        <v>22.93</v>
      </c>
      <c r="BY41" s="5">
        <v>147.13</v>
      </c>
      <c r="BZ41">
        <f>BZ40+1</f>
        <v>1.5</v>
      </c>
      <c r="CA41" s="5">
        <v>55.61</v>
      </c>
      <c r="CB41" s="5">
        <v>154.27000000000001</v>
      </c>
      <c r="CC41" s="5">
        <v>44.98</v>
      </c>
      <c r="CD41" s="5">
        <v>153.4</v>
      </c>
      <c r="CE41" s="5">
        <v>49.44</v>
      </c>
      <c r="CF41" s="5">
        <v>148.96</v>
      </c>
      <c r="CG41" s="5">
        <v>31.25</v>
      </c>
      <c r="CH41" s="5">
        <v>149.99</v>
      </c>
      <c r="CI41" s="5">
        <v>29.43</v>
      </c>
      <c r="CJ41" s="5">
        <v>145.88</v>
      </c>
      <c r="CM41" s="13" t="s">
        <v>72</v>
      </c>
      <c r="CN41" s="20">
        <v>32.371130000000001</v>
      </c>
      <c r="CO41" s="20">
        <v>-86.261160000000004</v>
      </c>
      <c r="CP41" s="19">
        <v>0.31599999999999995</v>
      </c>
      <c r="CQ41" s="19">
        <v>0.30500000000000005</v>
      </c>
      <c r="CR41" s="19">
        <v>0.33400000000000002</v>
      </c>
      <c r="CS41" s="19">
        <v>0.252</v>
      </c>
      <c r="CT41" s="98">
        <v>289.81666666666672</v>
      </c>
      <c r="CU41" s="98">
        <v>302.03888888888895</v>
      </c>
      <c r="CV41" s="98">
        <v>306.48333333333335</v>
      </c>
      <c r="CW41" s="98">
        <v>293.70555555555558</v>
      </c>
      <c r="CX41" s="104">
        <v>5</v>
      </c>
      <c r="CY41" s="104">
        <v>6</v>
      </c>
      <c r="CZ41" s="104">
        <v>7</v>
      </c>
      <c r="DA41" s="104">
        <v>8</v>
      </c>
      <c r="DB41" s="104">
        <v>2</v>
      </c>
      <c r="DD41" s="13" t="s">
        <v>405</v>
      </c>
      <c r="DE41" s="19">
        <v>0.12</v>
      </c>
      <c r="DG41">
        <f t="shared" ref="DG41:DG104" si="32">DG40+1</f>
        <v>2</v>
      </c>
      <c r="DH41" s="5">
        <f t="shared" ref="DH41:DH104" ca="1" si="33">OFFSET($DU41,0,$DH$36)</f>
        <v>884.03</v>
      </c>
      <c r="DI41" s="5">
        <f t="shared" ref="DI41:DI104" ca="1" si="34">OFFSET($DU41,0,$DI$36)</f>
        <v>779.17</v>
      </c>
      <c r="DJ41" s="5">
        <f t="shared" ref="DJ41:DJ104" ca="1" si="35">OFFSET($DU41,0,$DJ$36)</f>
        <v>770.85160139608888</v>
      </c>
      <c r="DK41" s="5">
        <f t="shared" ref="DK41:DK104" ca="1" si="36">OFFSET($DU41,0,$DK$36)</f>
        <v>873.36168949410182</v>
      </c>
      <c r="DL41" s="5">
        <f t="shared" ca="1" si="4"/>
        <v>76.914000000000001</v>
      </c>
      <c r="DM41" s="5">
        <f t="shared" ca="1" si="5"/>
        <v>76.466666666666683</v>
      </c>
      <c r="DN41" s="5">
        <f t="shared" ca="1" si="6"/>
        <v>75.652666666666676</v>
      </c>
      <c r="DO41" s="5">
        <f t="shared" ca="1" si="7"/>
        <v>75.990000000000009</v>
      </c>
      <c r="DP41" s="5">
        <f t="shared" ca="1" si="8"/>
        <v>33.635999999999996</v>
      </c>
      <c r="DQ41" s="5">
        <f t="shared" ca="1" si="9"/>
        <v>30.990000000000002</v>
      </c>
      <c r="DR41" s="5">
        <f t="shared" ca="1" si="10"/>
        <v>30.661999999999999</v>
      </c>
      <c r="DS41" s="5">
        <f t="shared" ca="1" si="11"/>
        <v>33.228000000000002</v>
      </c>
      <c r="DU41">
        <f t="shared" ref="DU41:DU104" si="37">DU40+1</f>
        <v>2</v>
      </c>
      <c r="DV41" s="5">
        <v>986.62</v>
      </c>
      <c r="DW41" s="5">
        <v>942.58535581814863</v>
      </c>
      <c r="DX41" s="5">
        <v>932.52657924073208</v>
      </c>
      <c r="DY41" s="5">
        <v>974.71144840586169</v>
      </c>
      <c r="DZ41" s="5">
        <v>884.03</v>
      </c>
      <c r="EA41" s="5">
        <v>779.17</v>
      </c>
      <c r="EB41" s="5">
        <v>770.85160139608888</v>
      </c>
      <c r="EC41" s="5">
        <v>873.36168949410182</v>
      </c>
      <c r="EE41">
        <f t="shared" ref="EE41:EE104" si="38">EE40+1</f>
        <v>2</v>
      </c>
      <c r="EF41" s="5">
        <v>42.961999999999996</v>
      </c>
      <c r="EG41" s="5">
        <v>41.043999999999997</v>
      </c>
      <c r="EH41" s="5">
        <v>40.606666666666662</v>
      </c>
      <c r="EI41" s="5">
        <v>42.437333333333335</v>
      </c>
      <c r="EJ41" s="5">
        <v>76.914000000000001</v>
      </c>
      <c r="EK41" s="5">
        <v>76.466666666666683</v>
      </c>
      <c r="EL41" s="5">
        <v>75.652666666666676</v>
      </c>
      <c r="EM41" s="5">
        <v>75.990000000000009</v>
      </c>
      <c r="EO41">
        <f t="shared" ref="EO41:EO104" si="39">EO40+1</f>
        <v>2</v>
      </c>
      <c r="EP41" s="5">
        <v>33.704000000000001</v>
      </c>
      <c r="EQ41" s="5">
        <v>31.995999999999995</v>
      </c>
      <c r="ER41" s="5">
        <v>31.658000000000001</v>
      </c>
      <c r="ES41" s="5">
        <v>33.08</v>
      </c>
      <c r="ET41" s="5">
        <v>33.635999999999996</v>
      </c>
      <c r="EU41" s="5">
        <v>30.990000000000002</v>
      </c>
      <c r="EV41" s="5">
        <v>30.661999999999999</v>
      </c>
      <c r="EW41" s="5">
        <v>33.228000000000002</v>
      </c>
    </row>
    <row r="42" spans="1:158">
      <c r="A42" s="167" t="s">
        <v>584</v>
      </c>
      <c r="B42" s="167" t="s">
        <v>591</v>
      </c>
      <c r="C42" t="s">
        <v>393</v>
      </c>
      <c r="D42" s="109">
        <f>VLOOKUP($D$6,$CM$39:$CW$227,9,FALSE)</f>
        <v>290.92777777777781</v>
      </c>
      <c r="E42" t="s">
        <v>392</v>
      </c>
      <c r="F42" t="s">
        <v>522</v>
      </c>
      <c r="I42">
        <f t="shared" ref="I42:I63" si="40">I41+1</f>
        <v>2.5</v>
      </c>
      <c r="J42" s="5">
        <f t="shared" ca="1" si="12"/>
        <v>62.47</v>
      </c>
      <c r="K42" s="5">
        <f t="shared" ca="1" si="13"/>
        <v>137.38</v>
      </c>
      <c r="L42" s="5">
        <f t="shared" ca="1" si="14"/>
        <v>43.42</v>
      </c>
      <c r="M42" s="5">
        <f t="shared" ca="1" si="15"/>
        <v>107.92</v>
      </c>
      <c r="N42" s="5">
        <f t="shared" ca="1" si="16"/>
        <v>41.32</v>
      </c>
      <c r="O42" s="5">
        <f t="shared" ca="1" si="17"/>
        <v>108.97</v>
      </c>
      <c r="P42" s="5">
        <f t="shared" ca="1" si="18"/>
        <v>69.13</v>
      </c>
      <c r="Q42" s="5">
        <f t="shared" ca="1" si="19"/>
        <v>131.81</v>
      </c>
      <c r="S42">
        <f t="shared" ca="1" si="20"/>
        <v>-0.73586076799296207</v>
      </c>
      <c r="T42">
        <f t="shared" ca="1" si="21"/>
        <v>0.67713287479549245</v>
      </c>
      <c r="U42">
        <f t="shared" ca="1" si="22"/>
        <v>1.0903071837208576</v>
      </c>
      <c r="V42">
        <f t="shared" ca="1" si="23"/>
        <v>-0.30768876817765062</v>
      </c>
      <c r="W42">
        <f t="shared" ca="1" si="24"/>
        <v>0.95148705820800317</v>
      </c>
      <c r="X42">
        <f t="shared" ca="1" si="25"/>
        <v>0.75782196121593792</v>
      </c>
      <c r="Y42">
        <f t="shared" ca="1" si="26"/>
        <v>-0.32507303748311056</v>
      </c>
      <c r="Z42">
        <f t="shared" ca="1" si="27"/>
        <v>0.94568891306893532</v>
      </c>
      <c r="AA42">
        <f t="shared" ca="1" si="28"/>
        <v>0.72117004692405706</v>
      </c>
      <c r="AB42">
        <f t="shared" ca="1" si="29"/>
        <v>-0.6666625702038127</v>
      </c>
      <c r="AC42">
        <f t="shared" ca="1" si="30"/>
        <v>0.74535965646743085</v>
      </c>
      <c r="AD42">
        <f t="shared" ca="1" si="31"/>
        <v>1.20654611190368</v>
      </c>
      <c r="AI42" t="s">
        <v>8</v>
      </c>
      <c r="AJ42">
        <v>6</v>
      </c>
      <c r="AK42">
        <v>7</v>
      </c>
      <c r="AO42">
        <f t="shared" ref="AO42:AO63" si="41">AO41+1</f>
        <v>2.5</v>
      </c>
      <c r="AP42" s="5">
        <v>76.41</v>
      </c>
      <c r="AQ42" s="5">
        <v>151.59</v>
      </c>
      <c r="AR42" s="5">
        <v>66.95</v>
      </c>
      <c r="AS42" s="5">
        <v>151.36000000000001</v>
      </c>
      <c r="AT42" s="5">
        <v>60.43</v>
      </c>
      <c r="AU42" s="5">
        <v>148.30000000000001</v>
      </c>
      <c r="AV42" s="5">
        <v>51.24</v>
      </c>
      <c r="AW42" s="5">
        <v>147.29</v>
      </c>
      <c r="AX42" s="5">
        <v>53.4</v>
      </c>
      <c r="AY42" s="5">
        <v>143.04</v>
      </c>
      <c r="AZ42" s="5">
        <v>62.47</v>
      </c>
      <c r="BA42" s="5">
        <v>137.38</v>
      </c>
      <c r="BB42">
        <f t="shared" ref="BB42" si="42">BB41+1</f>
        <v>2.5</v>
      </c>
      <c r="BC42" s="5">
        <v>73.94</v>
      </c>
      <c r="BD42" s="5">
        <v>153.51</v>
      </c>
      <c r="BE42" s="5">
        <v>73.91</v>
      </c>
      <c r="BF42" s="5">
        <v>146.08000000000001</v>
      </c>
      <c r="BG42" s="5">
        <v>58.97</v>
      </c>
      <c r="BH42" s="5">
        <v>148.16999999999999</v>
      </c>
      <c r="BI42" s="5">
        <v>52.01</v>
      </c>
      <c r="BJ42" s="5">
        <v>145.93</v>
      </c>
      <c r="BK42" s="5">
        <v>51.98</v>
      </c>
      <c r="BL42" s="5">
        <v>141.46</v>
      </c>
      <c r="BM42" s="5">
        <v>41.67</v>
      </c>
      <c r="BN42" s="5">
        <v>142.12</v>
      </c>
      <c r="BO42">
        <f t="shared" ref="BO42:BO63" si="43">BO41+1</f>
        <v>2.5</v>
      </c>
      <c r="BP42" s="5">
        <v>64.760000000000005</v>
      </c>
      <c r="BQ42" s="5">
        <v>149.99</v>
      </c>
      <c r="BR42" s="5">
        <v>65.36</v>
      </c>
      <c r="BS42" s="5">
        <v>144.69999999999999</v>
      </c>
      <c r="BT42" s="5">
        <v>58.09</v>
      </c>
      <c r="BU42" s="5">
        <v>144.72</v>
      </c>
      <c r="BV42" s="5">
        <v>53.61</v>
      </c>
      <c r="BW42" s="5">
        <v>143</v>
      </c>
      <c r="BX42" s="5">
        <v>45.67</v>
      </c>
      <c r="BY42" s="5">
        <v>141.34</v>
      </c>
      <c r="BZ42">
        <f t="shared" ref="BZ42:BZ63" si="44">BZ41+1</f>
        <v>2.5</v>
      </c>
      <c r="CA42" s="5">
        <v>72.77</v>
      </c>
      <c r="CB42" s="5">
        <v>142.88999999999999</v>
      </c>
      <c r="CC42" s="5">
        <v>65.22</v>
      </c>
      <c r="CD42" s="5">
        <v>143.5</v>
      </c>
      <c r="CE42" s="5">
        <v>67.33</v>
      </c>
      <c r="CF42" s="5">
        <v>138.91</v>
      </c>
      <c r="CG42" s="5">
        <v>53.66</v>
      </c>
      <c r="CH42" s="5">
        <v>142.56</v>
      </c>
      <c r="CI42" s="5">
        <v>50.66</v>
      </c>
      <c r="CJ42" s="5">
        <v>139.31</v>
      </c>
      <c r="CM42" s="13" t="s">
        <v>73</v>
      </c>
      <c r="CN42" s="20">
        <v>35.354419999999998</v>
      </c>
      <c r="CO42" s="20">
        <v>-94.380719999999997</v>
      </c>
      <c r="CP42" s="19">
        <v>0.31099999999999994</v>
      </c>
      <c r="CQ42" s="19">
        <v>0.32900000000000007</v>
      </c>
      <c r="CR42" s="19">
        <v>0.254</v>
      </c>
      <c r="CS42" s="19">
        <v>0.26500000000000001</v>
      </c>
      <c r="CT42" s="98">
        <v>285.92777777777781</v>
      </c>
      <c r="CU42" s="98">
        <v>299.81666666666672</v>
      </c>
      <c r="CV42" s="98">
        <v>307.03888888888895</v>
      </c>
      <c r="CW42" s="98">
        <v>290.37222222222226</v>
      </c>
      <c r="CX42" s="104">
        <v>5</v>
      </c>
      <c r="CY42" s="104">
        <v>6</v>
      </c>
      <c r="CZ42" s="104">
        <v>7</v>
      </c>
      <c r="DA42" s="104">
        <v>8</v>
      </c>
      <c r="DB42" s="104">
        <v>2</v>
      </c>
      <c r="DD42" s="13" t="s">
        <v>406</v>
      </c>
      <c r="DE42" s="19">
        <v>7.0999999999999994E-2</v>
      </c>
      <c r="DG42">
        <f t="shared" si="32"/>
        <v>3</v>
      </c>
      <c r="DH42" s="5">
        <f t="shared" ca="1" si="33"/>
        <v>883.73</v>
      </c>
      <c r="DI42" s="5">
        <f t="shared" ca="1" si="34"/>
        <v>778.87</v>
      </c>
      <c r="DJ42" s="5">
        <f t="shared" ca="1" si="35"/>
        <v>770.55480418826664</v>
      </c>
      <c r="DK42" s="5">
        <f t="shared" ca="1" si="36"/>
        <v>873.0653098386058</v>
      </c>
      <c r="DL42" s="5">
        <f t="shared" ca="1" si="4"/>
        <v>76.641000000000005</v>
      </c>
      <c r="DM42" s="5">
        <f t="shared" ca="1" si="5"/>
        <v>76.195000000000022</v>
      </c>
      <c r="DN42" s="5">
        <f t="shared" ca="1" si="6"/>
        <v>75.384000000000015</v>
      </c>
      <c r="DO42" s="5">
        <f t="shared" ca="1" si="7"/>
        <v>75.720000000000013</v>
      </c>
      <c r="DP42" s="5">
        <f t="shared" ca="1" si="8"/>
        <v>33.533999999999992</v>
      </c>
      <c r="DQ42" s="5">
        <f t="shared" ca="1" si="9"/>
        <v>30.895000000000003</v>
      </c>
      <c r="DR42" s="5">
        <f t="shared" ca="1" si="10"/>
        <v>30.567999999999998</v>
      </c>
      <c r="DS42" s="5">
        <f t="shared" ca="1" si="11"/>
        <v>33.127000000000002</v>
      </c>
      <c r="DU42">
        <f t="shared" si="37"/>
        <v>3</v>
      </c>
      <c r="DV42" s="5">
        <v>986.41</v>
      </c>
      <c r="DW42" s="5">
        <v>942.38472849990876</v>
      </c>
      <c r="DX42" s="5">
        <v>932.32809291201318</v>
      </c>
      <c r="DY42" s="5">
        <v>974.50398311611968</v>
      </c>
      <c r="DZ42" s="5">
        <v>883.73</v>
      </c>
      <c r="EA42" s="5">
        <v>778.87</v>
      </c>
      <c r="EB42" s="5">
        <v>770.55480418826664</v>
      </c>
      <c r="EC42" s="5">
        <v>873.0653098386058</v>
      </c>
      <c r="EE42">
        <f t="shared" si="38"/>
        <v>3</v>
      </c>
      <c r="EF42" s="5">
        <v>42.822999999999993</v>
      </c>
      <c r="EG42" s="5">
        <v>40.910999999999994</v>
      </c>
      <c r="EH42" s="5">
        <v>40.474999999999994</v>
      </c>
      <c r="EI42" s="5">
        <v>42.301000000000002</v>
      </c>
      <c r="EJ42" s="5">
        <v>76.641000000000005</v>
      </c>
      <c r="EK42" s="5">
        <v>76.195000000000022</v>
      </c>
      <c r="EL42" s="5">
        <v>75.384000000000015</v>
      </c>
      <c r="EM42" s="5">
        <v>75.720000000000013</v>
      </c>
      <c r="EO42">
        <f t="shared" si="39"/>
        <v>3</v>
      </c>
      <c r="EP42" s="5">
        <v>33.576000000000001</v>
      </c>
      <c r="EQ42" s="5">
        <v>31.898999999999994</v>
      </c>
      <c r="ER42" s="5">
        <v>31.562000000000001</v>
      </c>
      <c r="ES42" s="5">
        <v>32.979999999999997</v>
      </c>
      <c r="ET42" s="5">
        <v>33.533999999999992</v>
      </c>
      <c r="EU42" s="5">
        <v>30.895000000000003</v>
      </c>
      <c r="EV42" s="5">
        <v>30.567999999999998</v>
      </c>
      <c r="EW42" s="5">
        <v>33.127000000000002</v>
      </c>
    </row>
    <row r="43" spans="1:158">
      <c r="A43" s="167" t="s">
        <v>584</v>
      </c>
      <c r="B43" s="167" t="s">
        <v>591</v>
      </c>
      <c r="C43" t="s">
        <v>394</v>
      </c>
      <c r="D43" s="109">
        <f>VLOOKUP($D$6,$CM$39:$CW$227,10,FALSE)</f>
        <v>298.70555555555558</v>
      </c>
      <c r="E43" t="s">
        <v>392</v>
      </c>
      <c r="F43" t="s">
        <v>522</v>
      </c>
      <c r="I43">
        <f t="shared" si="40"/>
        <v>3.5</v>
      </c>
      <c r="J43" s="5">
        <f t="shared" ca="1" si="12"/>
        <v>76.33</v>
      </c>
      <c r="K43" s="5">
        <f t="shared" ca="1" si="13"/>
        <v>127.21</v>
      </c>
      <c r="L43" s="5">
        <f t="shared" ca="1" si="14"/>
        <v>55.54</v>
      </c>
      <c r="M43" s="5">
        <f t="shared" ca="1" si="15"/>
        <v>99.67</v>
      </c>
      <c r="N43" s="5">
        <f t="shared" ca="1" si="16"/>
        <v>53.68</v>
      </c>
      <c r="O43" s="5">
        <f t="shared" ca="1" si="17"/>
        <v>100.99</v>
      </c>
      <c r="P43" s="5">
        <f t="shared" ca="1" si="18"/>
        <v>81.569999999999993</v>
      </c>
      <c r="Q43" s="5">
        <f t="shared" ca="1" si="19"/>
        <v>121.34</v>
      </c>
      <c r="S43">
        <f t="shared" ca="1" si="20"/>
        <v>-0.60473812634969959</v>
      </c>
      <c r="T43">
        <f t="shared" ca="1" si="21"/>
        <v>0.7964243834407978</v>
      </c>
      <c r="U43">
        <f t="shared" ca="1" si="22"/>
        <v>1.3322098180472717</v>
      </c>
      <c r="V43">
        <f t="shared" ca="1" si="23"/>
        <v>-0.16797324336290781</v>
      </c>
      <c r="W43">
        <f t="shared" ca="1" si="24"/>
        <v>0.98579155479956582</v>
      </c>
      <c r="X43">
        <f t="shared" ca="1" si="25"/>
        <v>0.96935586655765049</v>
      </c>
      <c r="Y43">
        <f t="shared" ca="1" si="26"/>
        <v>-0.19063766620744482</v>
      </c>
      <c r="Z43">
        <f t="shared" ca="1" si="27"/>
        <v>0.98166047094857545</v>
      </c>
      <c r="AA43">
        <f t="shared" ca="1" si="28"/>
        <v>0.93689274247055609</v>
      </c>
      <c r="AB43">
        <f t="shared" ca="1" si="29"/>
        <v>-0.5201155100237429</v>
      </c>
      <c r="AC43">
        <f t="shared" ca="1" si="30"/>
        <v>0.85409592917466937</v>
      </c>
      <c r="AD43">
        <f t="shared" ca="1" si="31"/>
        <v>1.4236650708517744</v>
      </c>
      <c r="AI43" t="s">
        <v>12</v>
      </c>
      <c r="AJ43">
        <v>8</v>
      </c>
      <c r="AK43">
        <v>9</v>
      </c>
      <c r="AO43">
        <f t="shared" si="41"/>
        <v>3.5</v>
      </c>
      <c r="AP43" s="5">
        <v>85.91</v>
      </c>
      <c r="AQ43" s="5">
        <v>138.19999999999999</v>
      </c>
      <c r="AR43" s="5">
        <v>79.87</v>
      </c>
      <c r="AS43" s="5">
        <v>138.91999999999999</v>
      </c>
      <c r="AT43" s="5">
        <v>75.22</v>
      </c>
      <c r="AU43" s="5">
        <v>137.21</v>
      </c>
      <c r="AV43" s="5">
        <v>68.400000000000006</v>
      </c>
      <c r="AW43" s="5">
        <v>137.32</v>
      </c>
      <c r="AX43" s="5">
        <v>69.52</v>
      </c>
      <c r="AY43" s="5">
        <v>133.4</v>
      </c>
      <c r="AZ43" s="5">
        <v>76.33</v>
      </c>
      <c r="BA43" s="5">
        <v>127.21</v>
      </c>
      <c r="BB43">
        <f t="shared" ref="BB43" si="45">BB42+1</f>
        <v>3.5</v>
      </c>
      <c r="BC43" s="5">
        <v>84.42</v>
      </c>
      <c r="BD43" s="5">
        <v>140.24</v>
      </c>
      <c r="BE43" s="5">
        <v>84.33</v>
      </c>
      <c r="BF43" s="5">
        <v>133.41</v>
      </c>
      <c r="BG43" s="5">
        <v>74.16</v>
      </c>
      <c r="BH43" s="5">
        <v>137.06</v>
      </c>
      <c r="BI43" s="5">
        <v>68.790000000000006</v>
      </c>
      <c r="BJ43" s="5">
        <v>136.11000000000001</v>
      </c>
      <c r="BK43" s="5">
        <v>68.25</v>
      </c>
      <c r="BL43" s="5">
        <v>132.24</v>
      </c>
      <c r="BM43" s="5">
        <v>59.95</v>
      </c>
      <c r="BN43" s="5">
        <v>134.34</v>
      </c>
      <c r="BO43">
        <f t="shared" si="43"/>
        <v>3.5</v>
      </c>
      <c r="BP43" s="5">
        <v>78.31</v>
      </c>
      <c r="BQ43" s="5">
        <v>137.93</v>
      </c>
      <c r="BR43" s="5">
        <v>78.489999999999995</v>
      </c>
      <c r="BS43" s="5">
        <v>133.18</v>
      </c>
      <c r="BT43" s="5">
        <v>73.239999999999995</v>
      </c>
      <c r="BU43" s="5">
        <v>134.4</v>
      </c>
      <c r="BV43" s="5">
        <v>69.67</v>
      </c>
      <c r="BW43" s="5">
        <v>133.29</v>
      </c>
      <c r="BX43" s="5">
        <v>63.13</v>
      </c>
      <c r="BY43" s="5">
        <v>133.13999999999999</v>
      </c>
      <c r="BZ43">
        <f t="shared" si="44"/>
        <v>3.5</v>
      </c>
      <c r="CA43" s="5">
        <v>83.65</v>
      </c>
      <c r="CB43" s="5">
        <v>130.53</v>
      </c>
      <c r="CC43" s="5">
        <v>78.36</v>
      </c>
      <c r="CD43" s="5">
        <v>132.08000000000001</v>
      </c>
      <c r="CE43" s="5">
        <v>79.930000000000007</v>
      </c>
      <c r="CF43" s="5">
        <v>128.12</v>
      </c>
      <c r="CG43" s="5">
        <v>69.67</v>
      </c>
      <c r="CH43" s="5">
        <v>132.91</v>
      </c>
      <c r="CI43" s="5">
        <v>66.989999999999995</v>
      </c>
      <c r="CJ43" s="5">
        <v>130.63999999999999</v>
      </c>
      <c r="CM43" s="13" t="s">
        <v>74</v>
      </c>
      <c r="CN43" s="20">
        <v>34.737400000000001</v>
      </c>
      <c r="CO43" s="20">
        <v>-92.265839999999997</v>
      </c>
      <c r="CP43" s="19">
        <v>0.32599999999999996</v>
      </c>
      <c r="CQ43" s="19">
        <v>0.33600000000000008</v>
      </c>
      <c r="CR43" s="19">
        <v>0.28599999999999998</v>
      </c>
      <c r="CS43" s="19">
        <v>0.27300000000000002</v>
      </c>
      <c r="CT43" s="98">
        <v>285.92777777777781</v>
      </c>
      <c r="CU43" s="98">
        <v>300.37222222222226</v>
      </c>
      <c r="CV43" s="98">
        <v>307.03888888888895</v>
      </c>
      <c r="CW43" s="98">
        <v>290.37222222222226</v>
      </c>
      <c r="CX43" s="104">
        <v>5</v>
      </c>
      <c r="CY43" s="104">
        <v>6</v>
      </c>
      <c r="CZ43" s="104">
        <v>7</v>
      </c>
      <c r="DA43" s="104">
        <v>8</v>
      </c>
      <c r="DB43" s="104">
        <v>2</v>
      </c>
      <c r="DD43" s="13" t="s">
        <v>407</v>
      </c>
      <c r="DE43" s="19">
        <v>0.187</v>
      </c>
      <c r="DG43">
        <f t="shared" si="32"/>
        <v>4</v>
      </c>
      <c r="DH43" s="5">
        <f t="shared" ca="1" si="33"/>
        <v>883.44</v>
      </c>
      <c r="DI43" s="5">
        <f t="shared" ca="1" si="34"/>
        <v>778.6</v>
      </c>
      <c r="DJ43" s="5">
        <f t="shared" ca="1" si="35"/>
        <v>770.28768670122668</v>
      </c>
      <c r="DK43" s="5">
        <f t="shared" ca="1" si="36"/>
        <v>872.77880950495955</v>
      </c>
      <c r="DL43" s="5">
        <f t="shared" ca="1" si="4"/>
        <v>76.368000000000009</v>
      </c>
      <c r="DM43" s="5">
        <f t="shared" ca="1" si="5"/>
        <v>75.92333333333336</v>
      </c>
      <c r="DN43" s="5">
        <f t="shared" ca="1" si="6"/>
        <v>75.115333333333353</v>
      </c>
      <c r="DO43" s="5">
        <f t="shared" ca="1" si="7"/>
        <v>75.450000000000017</v>
      </c>
      <c r="DP43" s="5">
        <f t="shared" ca="1" si="8"/>
        <v>33.431999999999988</v>
      </c>
      <c r="DQ43" s="5">
        <f t="shared" ca="1" si="9"/>
        <v>30.800000000000004</v>
      </c>
      <c r="DR43" s="5">
        <f t="shared" ca="1" si="10"/>
        <v>30.473999999999997</v>
      </c>
      <c r="DS43" s="5">
        <f t="shared" ca="1" si="11"/>
        <v>33.026000000000003</v>
      </c>
      <c r="DU43">
        <f t="shared" si="37"/>
        <v>4</v>
      </c>
      <c r="DV43" s="5">
        <v>986.2</v>
      </c>
      <c r="DW43" s="5">
        <v>942.18410118166901</v>
      </c>
      <c r="DX43" s="5">
        <v>932.1296065832945</v>
      </c>
      <c r="DY43" s="5">
        <v>974.29651782637791</v>
      </c>
      <c r="DZ43" s="5">
        <v>883.44</v>
      </c>
      <c r="EA43" s="5">
        <v>778.6</v>
      </c>
      <c r="EB43" s="5">
        <v>770.28768670122668</v>
      </c>
      <c r="EC43" s="5">
        <v>872.77880950495955</v>
      </c>
      <c r="EE43">
        <f t="shared" si="38"/>
        <v>4</v>
      </c>
      <c r="EF43" s="5">
        <v>42.68399999999999</v>
      </c>
      <c r="EG43" s="5">
        <v>40.777999999999992</v>
      </c>
      <c r="EH43" s="5">
        <v>40.343333333333327</v>
      </c>
      <c r="EI43" s="5">
        <v>42.164666666666669</v>
      </c>
      <c r="EJ43" s="5">
        <v>76.368000000000009</v>
      </c>
      <c r="EK43" s="5">
        <v>75.92333333333336</v>
      </c>
      <c r="EL43" s="5">
        <v>75.115333333333353</v>
      </c>
      <c r="EM43" s="5">
        <v>75.450000000000017</v>
      </c>
      <c r="EO43">
        <f t="shared" si="39"/>
        <v>4</v>
      </c>
      <c r="EP43" s="5">
        <v>33.448</v>
      </c>
      <c r="EQ43" s="5">
        <v>31.801999999999992</v>
      </c>
      <c r="ER43" s="5">
        <v>31.466000000000001</v>
      </c>
      <c r="ES43" s="5">
        <v>32.879999999999995</v>
      </c>
      <c r="ET43" s="5">
        <v>33.431999999999988</v>
      </c>
      <c r="EU43" s="5">
        <v>30.800000000000004</v>
      </c>
      <c r="EV43" s="5">
        <v>30.473999999999997</v>
      </c>
      <c r="EW43" s="5">
        <v>33.026000000000003</v>
      </c>
    </row>
    <row r="44" spans="1:158">
      <c r="A44" s="167" t="s">
        <v>584</v>
      </c>
      <c r="B44" s="167" t="s">
        <v>591</v>
      </c>
      <c r="C44" t="s">
        <v>395</v>
      </c>
      <c r="D44" s="109">
        <f>VLOOKUP($D$6,$CM$39:$CW$227,11,FALSE)</f>
        <v>282.03888888888889</v>
      </c>
      <c r="E44" t="s">
        <v>392</v>
      </c>
      <c r="F44" t="s">
        <v>522</v>
      </c>
      <c r="I44">
        <f t="shared" si="40"/>
        <v>4.5</v>
      </c>
      <c r="J44" s="5">
        <f t="shared" ca="1" si="12"/>
        <v>87.64</v>
      </c>
      <c r="K44" s="5">
        <f t="shared" ca="1" si="13"/>
        <v>116.47</v>
      </c>
      <c r="L44" s="5">
        <f t="shared" ca="1" si="14"/>
        <v>66.37</v>
      </c>
      <c r="M44" s="5">
        <f t="shared" ca="1" si="15"/>
        <v>90.2</v>
      </c>
      <c r="N44" s="5">
        <f t="shared" ca="1" si="16"/>
        <v>64.69</v>
      </c>
      <c r="O44" s="5">
        <f t="shared" ca="1" si="17"/>
        <v>91.65</v>
      </c>
      <c r="P44" s="5">
        <f t="shared" ca="1" si="18"/>
        <v>92.25</v>
      </c>
      <c r="Q44" s="5">
        <f t="shared" ca="1" si="19"/>
        <v>109.04</v>
      </c>
      <c r="S44">
        <f t="shared" ca="1" si="20"/>
        <v>-0.44572916543141355</v>
      </c>
      <c r="T44">
        <f t="shared" ca="1" si="21"/>
        <v>0.89516786754430344</v>
      </c>
      <c r="U44">
        <f t="shared" ca="1" si="22"/>
        <v>1.5296065564478305</v>
      </c>
      <c r="V44">
        <f t="shared" ca="1" si="23"/>
        <v>-3.4906514152236758E-3</v>
      </c>
      <c r="W44">
        <f t="shared" ca="1" si="24"/>
        <v>0.99999390765779039</v>
      </c>
      <c r="X44">
        <f t="shared" ca="1" si="25"/>
        <v>1.1583750245486366</v>
      </c>
      <c r="Y44">
        <f t="shared" ca="1" si="26"/>
        <v>-2.8793952368263612E-2</v>
      </c>
      <c r="Z44">
        <f t="shared" ca="1" si="27"/>
        <v>0.99958536819373967</v>
      </c>
      <c r="AA44">
        <f t="shared" ca="1" si="28"/>
        <v>1.1290534931151317</v>
      </c>
      <c r="AB44">
        <f t="shared" ca="1" si="29"/>
        <v>-0.32622817155587358</v>
      </c>
      <c r="AC44">
        <f t="shared" ca="1" si="30"/>
        <v>0.94529105575124928</v>
      </c>
      <c r="AD44">
        <f t="shared" ca="1" si="31"/>
        <v>1.610066234964769</v>
      </c>
      <c r="AI44" t="s">
        <v>9</v>
      </c>
      <c r="AJ44">
        <v>10</v>
      </c>
      <c r="AK44">
        <v>11</v>
      </c>
      <c r="AO44">
        <f t="shared" si="41"/>
        <v>4.5</v>
      </c>
      <c r="AP44" s="5">
        <v>92.6</v>
      </c>
      <c r="AQ44" s="5">
        <v>124.72</v>
      </c>
      <c r="AR44" s="5">
        <v>88.66</v>
      </c>
      <c r="AS44" s="5">
        <v>126.05</v>
      </c>
      <c r="AT44" s="5">
        <v>85.67</v>
      </c>
      <c r="AU44" s="5">
        <v>125.02</v>
      </c>
      <c r="AV44" s="5">
        <v>80.790000000000006</v>
      </c>
      <c r="AW44" s="5">
        <v>126.29</v>
      </c>
      <c r="AX44" s="5">
        <v>81.88</v>
      </c>
      <c r="AY44" s="5">
        <v>122.77</v>
      </c>
      <c r="AZ44" s="5">
        <v>87.64</v>
      </c>
      <c r="BA44" s="5">
        <v>116.47</v>
      </c>
      <c r="BB44">
        <f t="shared" ref="BB44" si="46">BB43+1</f>
        <v>4.5</v>
      </c>
      <c r="BC44" s="5">
        <v>91.47</v>
      </c>
      <c r="BD44" s="5">
        <v>126.75</v>
      </c>
      <c r="BE44" s="5">
        <v>92.16</v>
      </c>
      <c r="BF44" s="5">
        <v>120.28</v>
      </c>
      <c r="BG44" s="5">
        <v>84.94</v>
      </c>
      <c r="BH44" s="5">
        <v>125.11</v>
      </c>
      <c r="BI44" s="5">
        <v>81.14</v>
      </c>
      <c r="BJ44" s="5">
        <v>125.17</v>
      </c>
      <c r="BK44" s="5">
        <v>81</v>
      </c>
      <c r="BL44" s="5">
        <v>121.95</v>
      </c>
      <c r="BM44" s="5">
        <v>74.37</v>
      </c>
      <c r="BN44" s="5">
        <v>125.11</v>
      </c>
      <c r="BO44">
        <f t="shared" si="43"/>
        <v>4.5</v>
      </c>
      <c r="BP44" s="5">
        <v>87.7</v>
      </c>
      <c r="BQ44" s="5">
        <v>125.31</v>
      </c>
      <c r="BR44" s="5">
        <v>88.32</v>
      </c>
      <c r="BS44" s="5">
        <v>121.1</v>
      </c>
      <c r="BT44" s="5">
        <v>84.51</v>
      </c>
      <c r="BU44" s="5">
        <v>122.91</v>
      </c>
      <c r="BV44" s="5">
        <v>81.99</v>
      </c>
      <c r="BW44" s="5">
        <v>122.66</v>
      </c>
      <c r="BX44" s="5">
        <v>76.95</v>
      </c>
      <c r="BY44" s="5">
        <v>123.63</v>
      </c>
      <c r="BZ44">
        <f t="shared" si="44"/>
        <v>4.5</v>
      </c>
      <c r="CA44" s="5">
        <v>92.1</v>
      </c>
      <c r="CB44" s="5">
        <v>117.92</v>
      </c>
      <c r="CC44" s="5">
        <v>88.37</v>
      </c>
      <c r="CD44" s="5">
        <v>120.16</v>
      </c>
      <c r="CE44" s="5">
        <v>90.08</v>
      </c>
      <c r="CF44" s="5">
        <v>116.24</v>
      </c>
      <c r="CG44" s="5">
        <v>82.02</v>
      </c>
      <c r="CH44" s="5">
        <v>122.33</v>
      </c>
      <c r="CI44" s="5">
        <v>80.150000000000006</v>
      </c>
      <c r="CJ44" s="5">
        <v>120.94</v>
      </c>
      <c r="CM44" s="15" t="s">
        <v>75</v>
      </c>
      <c r="CN44" s="21">
        <v>35.185400000000001</v>
      </c>
      <c r="CO44" s="21">
        <v>-111.65534</v>
      </c>
      <c r="CP44" s="19">
        <v>0.19400000000000001</v>
      </c>
      <c r="CQ44" s="19">
        <v>0.186</v>
      </c>
      <c r="CR44" s="19">
        <v>0.36</v>
      </c>
      <c r="CS44" s="19">
        <v>0.13800000000000001</v>
      </c>
      <c r="CT44" s="98">
        <v>280.37222222222221</v>
      </c>
      <c r="CU44" s="98">
        <v>292.59444444444449</v>
      </c>
      <c r="CV44" s="98">
        <v>298.70555555555558</v>
      </c>
      <c r="CW44" s="98">
        <v>284.26111111111112</v>
      </c>
      <c r="CX44" s="104">
        <v>1</v>
      </c>
      <c r="CY44" s="104">
        <v>2</v>
      </c>
      <c r="CZ44" s="104">
        <v>3</v>
      </c>
      <c r="DA44" s="104">
        <v>4</v>
      </c>
      <c r="DB44" s="104">
        <v>1</v>
      </c>
      <c r="DD44" s="13" t="s">
        <v>408</v>
      </c>
      <c r="DE44" s="19">
        <v>0.1</v>
      </c>
      <c r="DG44">
        <f t="shared" si="32"/>
        <v>5</v>
      </c>
      <c r="DH44" s="5">
        <f t="shared" ca="1" si="33"/>
        <v>883.06</v>
      </c>
      <c r="DI44" s="5">
        <f t="shared" ca="1" si="34"/>
        <v>778.19</v>
      </c>
      <c r="DJ44" s="5">
        <f t="shared" ca="1" si="35"/>
        <v>769.88206385053638</v>
      </c>
      <c r="DK44" s="5">
        <f t="shared" ca="1" si="36"/>
        <v>872.40339527466438</v>
      </c>
      <c r="DL44" s="5">
        <f t="shared" ca="1" si="4"/>
        <v>76.095000000000013</v>
      </c>
      <c r="DM44" s="5">
        <f t="shared" ca="1" si="5"/>
        <v>75.651666666666699</v>
      </c>
      <c r="DN44" s="5">
        <f t="shared" ca="1" si="6"/>
        <v>74.846666666666692</v>
      </c>
      <c r="DO44" s="5">
        <f t="shared" ca="1" si="7"/>
        <v>75.180000000000021</v>
      </c>
      <c r="DP44" s="5">
        <f t="shared" ca="1" si="8"/>
        <v>33.329999999999984</v>
      </c>
      <c r="DQ44" s="5">
        <f t="shared" ca="1" si="9"/>
        <v>30.705000000000005</v>
      </c>
      <c r="DR44" s="5">
        <f t="shared" ca="1" si="10"/>
        <v>30.379999999999995</v>
      </c>
      <c r="DS44" s="5">
        <f t="shared" ca="1" si="11"/>
        <v>32.925000000000004</v>
      </c>
      <c r="DU44">
        <f t="shared" si="37"/>
        <v>5</v>
      </c>
      <c r="DV44" s="5">
        <v>985.9</v>
      </c>
      <c r="DW44" s="5">
        <v>941.89749072704058</v>
      </c>
      <c r="DX44" s="5">
        <v>931.84605468512473</v>
      </c>
      <c r="DY44" s="5">
        <v>974.00013884103203</v>
      </c>
      <c r="DZ44" s="5">
        <v>883.06</v>
      </c>
      <c r="EA44" s="5">
        <v>778.19</v>
      </c>
      <c r="EB44" s="5">
        <v>769.88206385053638</v>
      </c>
      <c r="EC44" s="5">
        <v>872.40339527466438</v>
      </c>
      <c r="EE44">
        <f t="shared" si="38"/>
        <v>5</v>
      </c>
      <c r="EF44" s="5">
        <v>42.544999999999987</v>
      </c>
      <c r="EG44" s="5">
        <v>40.644999999999989</v>
      </c>
      <c r="EH44" s="5">
        <v>40.211666666666659</v>
      </c>
      <c r="EI44" s="5">
        <v>42.028333333333336</v>
      </c>
      <c r="EJ44" s="5">
        <v>76.095000000000013</v>
      </c>
      <c r="EK44" s="5">
        <v>75.651666666666699</v>
      </c>
      <c r="EL44" s="5">
        <v>74.846666666666692</v>
      </c>
      <c r="EM44" s="5">
        <v>75.180000000000021</v>
      </c>
      <c r="EO44">
        <f t="shared" si="39"/>
        <v>5</v>
      </c>
      <c r="EP44" s="5">
        <v>33.32</v>
      </c>
      <c r="EQ44" s="5">
        <v>31.704999999999991</v>
      </c>
      <c r="ER44" s="5">
        <v>31.37</v>
      </c>
      <c r="ES44" s="5">
        <v>32.779999999999994</v>
      </c>
      <c r="ET44" s="5">
        <v>33.329999999999984</v>
      </c>
      <c r="EU44" s="5">
        <v>30.705000000000005</v>
      </c>
      <c r="EV44" s="5">
        <v>30.379999999999995</v>
      </c>
      <c r="EW44" s="5">
        <v>32.925000000000004</v>
      </c>
    </row>
    <row r="45" spans="1:158">
      <c r="A45" s="167" t="s">
        <v>587</v>
      </c>
      <c r="B45" s="167" t="s">
        <v>593</v>
      </c>
      <c r="C45" t="s">
        <v>449</v>
      </c>
      <c r="D45" s="110">
        <f>$D$10+(D41-$D$25)*$D$13</f>
        <v>0.29933333333333328</v>
      </c>
      <c r="F45" t="s">
        <v>499</v>
      </c>
      <c r="I45">
        <f t="shared" si="40"/>
        <v>5.5</v>
      </c>
      <c r="J45" s="5">
        <f t="shared" ca="1" si="12"/>
        <v>97.82</v>
      </c>
      <c r="K45" s="5">
        <f t="shared" ca="1" si="13"/>
        <v>105.68</v>
      </c>
      <c r="L45" s="5">
        <f t="shared" ca="1" si="14"/>
        <v>76.45</v>
      </c>
      <c r="M45" s="5">
        <f t="shared" ca="1" si="15"/>
        <v>79.900000000000006</v>
      </c>
      <c r="N45" s="5">
        <f t="shared" ca="1" si="16"/>
        <v>74.87</v>
      </c>
      <c r="O45" s="5">
        <f t="shared" ca="1" si="17"/>
        <v>81.52</v>
      </c>
      <c r="P45" s="5">
        <f t="shared" ca="1" si="18"/>
        <v>102.28</v>
      </c>
      <c r="Q45" s="5">
        <f t="shared" ca="1" si="19"/>
        <v>99.76</v>
      </c>
      <c r="S45">
        <f t="shared" ca="1" si="20"/>
        <v>-0.27026438668362784</v>
      </c>
      <c r="T45">
        <f t="shared" ca="1" si="21"/>
        <v>0.96278614514881888</v>
      </c>
      <c r="U45">
        <f t="shared" ca="1" si="22"/>
        <v>1.7072810743008531</v>
      </c>
      <c r="V45">
        <f t="shared" ca="1" si="23"/>
        <v>0.17536672609198709</v>
      </c>
      <c r="W45">
        <f t="shared" ca="1" si="24"/>
        <v>0.98450317997443659</v>
      </c>
      <c r="X45">
        <f t="shared" ca="1" si="25"/>
        <v>1.334304213149665</v>
      </c>
      <c r="Y45">
        <f t="shared" ca="1" si="26"/>
        <v>0.14746417046815488</v>
      </c>
      <c r="Z45">
        <f t="shared" ca="1" si="27"/>
        <v>0.98906739832437052</v>
      </c>
      <c r="AA45">
        <f t="shared" ca="1" si="28"/>
        <v>1.3067280109681545</v>
      </c>
      <c r="AB45">
        <f t="shared" ca="1" si="29"/>
        <v>-0.16952151325074652</v>
      </c>
      <c r="AC45">
        <f t="shared" ca="1" si="30"/>
        <v>0.98552648698306278</v>
      </c>
      <c r="AD45">
        <f t="shared" ca="1" si="31"/>
        <v>1.7851227589398002</v>
      </c>
      <c r="AI45" t="s">
        <v>10</v>
      </c>
      <c r="AJ45">
        <v>12</v>
      </c>
      <c r="AK45">
        <v>13</v>
      </c>
      <c r="AO45">
        <f t="shared" si="41"/>
        <v>5.5</v>
      </c>
      <c r="AP45" s="5">
        <v>98.44</v>
      </c>
      <c r="AQ45" s="5">
        <v>111.27</v>
      </c>
      <c r="AR45" s="5">
        <v>95.96</v>
      </c>
      <c r="AS45" s="5">
        <v>113.14</v>
      </c>
      <c r="AT45" s="5">
        <v>94.34</v>
      </c>
      <c r="AU45" s="5">
        <v>112.86</v>
      </c>
      <c r="AV45" s="5">
        <v>90.94</v>
      </c>
      <c r="AW45" s="5">
        <v>114.78</v>
      </c>
      <c r="AX45" s="5">
        <v>92.39</v>
      </c>
      <c r="AY45" s="5">
        <v>111.78</v>
      </c>
      <c r="AZ45" s="5">
        <v>97.82</v>
      </c>
      <c r="BA45" s="5">
        <v>105.68</v>
      </c>
      <c r="BB45">
        <f t="shared" ref="BB45" si="47">BB44+1</f>
        <v>5.5</v>
      </c>
      <c r="BC45" s="5">
        <v>97.45</v>
      </c>
      <c r="BD45" s="5">
        <v>113.37</v>
      </c>
      <c r="BE45" s="5">
        <v>99.12</v>
      </c>
      <c r="BF45" s="5">
        <v>107.46</v>
      </c>
      <c r="BG45" s="5">
        <v>93.88</v>
      </c>
      <c r="BH45" s="5">
        <v>113.04</v>
      </c>
      <c r="BI45" s="5">
        <v>91.39</v>
      </c>
      <c r="BJ45" s="5">
        <v>113.82</v>
      </c>
      <c r="BK45" s="5">
        <v>91.95</v>
      </c>
      <c r="BL45" s="5">
        <v>111.44</v>
      </c>
      <c r="BM45" s="5">
        <v>86.52</v>
      </c>
      <c r="BN45" s="5">
        <v>115.23</v>
      </c>
      <c r="BO45">
        <f t="shared" si="43"/>
        <v>5.5</v>
      </c>
      <c r="BP45" s="5">
        <v>95.52</v>
      </c>
      <c r="BQ45" s="5">
        <v>112.71</v>
      </c>
      <c r="BR45" s="5">
        <v>96.83</v>
      </c>
      <c r="BS45" s="5">
        <v>108.91</v>
      </c>
      <c r="BT45" s="5">
        <v>94.07</v>
      </c>
      <c r="BU45" s="5">
        <v>111.33</v>
      </c>
      <c r="BV45" s="5">
        <v>92.48</v>
      </c>
      <c r="BW45" s="5">
        <v>111.67</v>
      </c>
      <c r="BX45" s="5">
        <v>88.71</v>
      </c>
      <c r="BY45" s="5">
        <v>113.54</v>
      </c>
      <c r="BZ45">
        <f t="shared" si="44"/>
        <v>5.5</v>
      </c>
      <c r="CA45" s="5">
        <v>99.71</v>
      </c>
      <c r="CB45" s="5">
        <v>105.47</v>
      </c>
      <c r="CC45" s="5">
        <v>97.1</v>
      </c>
      <c r="CD45" s="5">
        <v>108.16</v>
      </c>
      <c r="CE45" s="5">
        <v>99.24</v>
      </c>
      <c r="CF45" s="5">
        <v>104.43</v>
      </c>
      <c r="CG45" s="5">
        <v>92.57</v>
      </c>
      <c r="CH45" s="5">
        <v>111.36</v>
      </c>
      <c r="CI45" s="5">
        <v>91.6</v>
      </c>
      <c r="CJ45" s="5">
        <v>110.87</v>
      </c>
      <c r="CM45" s="16" t="s">
        <v>76</v>
      </c>
      <c r="CN45" s="21">
        <v>33.484160000000003</v>
      </c>
      <c r="CO45" s="21">
        <v>-112.06036</v>
      </c>
      <c r="CP45" s="19">
        <v>0.1</v>
      </c>
      <c r="CQ45" s="19">
        <v>0.1</v>
      </c>
      <c r="CR45" s="19">
        <v>0.191</v>
      </c>
      <c r="CS45" s="19">
        <v>0.1</v>
      </c>
      <c r="CT45" s="98">
        <v>294.81666666666672</v>
      </c>
      <c r="CU45" s="98">
        <v>308.15000000000003</v>
      </c>
      <c r="CV45" s="98">
        <v>313.15000000000003</v>
      </c>
      <c r="CW45" s="98">
        <v>297.59444444444449</v>
      </c>
      <c r="CX45" s="104">
        <v>1</v>
      </c>
      <c r="CY45" s="104">
        <v>2</v>
      </c>
      <c r="CZ45" s="104">
        <v>3</v>
      </c>
      <c r="DA45" s="104">
        <v>4</v>
      </c>
      <c r="DB45" s="104">
        <v>1</v>
      </c>
      <c r="DD45" s="13" t="s">
        <v>409</v>
      </c>
      <c r="DE45" s="19">
        <v>0.13900000000000001</v>
      </c>
      <c r="DG45">
        <f t="shared" si="32"/>
        <v>6</v>
      </c>
      <c r="DH45" s="5">
        <f t="shared" ca="1" si="33"/>
        <v>882.5</v>
      </c>
      <c r="DI45" s="5">
        <f t="shared" ca="1" si="34"/>
        <v>777.65</v>
      </c>
      <c r="DJ45" s="5">
        <f t="shared" ca="1" si="35"/>
        <v>769.34782887645633</v>
      </c>
      <c r="DK45" s="5">
        <f t="shared" ca="1" si="36"/>
        <v>871.85015325107167</v>
      </c>
      <c r="DL45" s="5">
        <f t="shared" ca="1" si="4"/>
        <v>75.822000000000017</v>
      </c>
      <c r="DM45" s="5">
        <f t="shared" ca="1" si="5"/>
        <v>75.380000000000038</v>
      </c>
      <c r="DN45" s="5">
        <f t="shared" ca="1" si="6"/>
        <v>74.578000000000031</v>
      </c>
      <c r="DO45" s="5">
        <f t="shared" ca="1" si="7"/>
        <v>74.910000000000025</v>
      </c>
      <c r="DP45" s="5">
        <f t="shared" ca="1" si="8"/>
        <v>33.22799999999998</v>
      </c>
      <c r="DQ45" s="5">
        <f t="shared" ca="1" si="9"/>
        <v>30.610000000000007</v>
      </c>
      <c r="DR45" s="5">
        <f t="shared" ca="1" si="10"/>
        <v>30.285999999999994</v>
      </c>
      <c r="DS45" s="5">
        <f t="shared" ca="1" si="11"/>
        <v>32.824000000000005</v>
      </c>
      <c r="DU45">
        <f t="shared" si="37"/>
        <v>6</v>
      </c>
      <c r="DV45" s="5">
        <v>985.5</v>
      </c>
      <c r="DW45" s="5">
        <v>941.51534345420271</v>
      </c>
      <c r="DX45" s="5">
        <v>931.46798548756499</v>
      </c>
      <c r="DY45" s="5">
        <v>973.60496686057115</v>
      </c>
      <c r="DZ45" s="5">
        <v>882.5</v>
      </c>
      <c r="EA45" s="5">
        <v>777.65</v>
      </c>
      <c r="EB45" s="5">
        <v>769.34782887645633</v>
      </c>
      <c r="EC45" s="5">
        <v>871.85015325107167</v>
      </c>
      <c r="EE45">
        <f t="shared" si="38"/>
        <v>6</v>
      </c>
      <c r="EF45" s="5">
        <v>42.405999999999985</v>
      </c>
      <c r="EG45" s="5">
        <v>40.511999999999986</v>
      </c>
      <c r="EH45" s="5">
        <v>40.079999999999991</v>
      </c>
      <c r="EI45" s="5">
        <v>41.892000000000003</v>
      </c>
      <c r="EJ45" s="5">
        <v>75.822000000000017</v>
      </c>
      <c r="EK45" s="5">
        <v>75.380000000000038</v>
      </c>
      <c r="EL45" s="5">
        <v>74.578000000000031</v>
      </c>
      <c r="EM45" s="5">
        <v>74.910000000000025</v>
      </c>
      <c r="EO45">
        <f t="shared" si="39"/>
        <v>6</v>
      </c>
      <c r="EP45" s="5">
        <v>33.192</v>
      </c>
      <c r="EQ45" s="5">
        <v>31.60799999999999</v>
      </c>
      <c r="ER45" s="5">
        <v>31.274000000000001</v>
      </c>
      <c r="ES45" s="5">
        <v>32.679999999999993</v>
      </c>
      <c r="ET45" s="5">
        <v>33.22799999999998</v>
      </c>
      <c r="EU45" s="5">
        <v>30.610000000000007</v>
      </c>
      <c r="EV45" s="5">
        <v>30.285999999999994</v>
      </c>
      <c r="EW45" s="5">
        <v>32.824000000000005</v>
      </c>
    </row>
    <row r="46" spans="1:158">
      <c r="A46" s="167" t="s">
        <v>587</v>
      </c>
      <c r="B46" s="167" t="s">
        <v>593</v>
      </c>
      <c r="C46" t="s">
        <v>451</v>
      </c>
      <c r="D46" s="110">
        <f>$D$10+(D42-$D$25)*$D$13</f>
        <v>0.24455555555555539</v>
      </c>
      <c r="F46" t="s">
        <v>499</v>
      </c>
      <c r="I46">
        <f t="shared" si="40"/>
        <v>6.5</v>
      </c>
      <c r="J46" s="5">
        <f t="shared" ca="1" si="12"/>
        <v>107.76</v>
      </c>
      <c r="K46" s="5">
        <f t="shared" ca="1" si="13"/>
        <v>95.08</v>
      </c>
      <c r="L46" s="5">
        <f t="shared" ca="1" si="14"/>
        <v>86.38</v>
      </c>
      <c r="M46" s="5">
        <f t="shared" ca="1" si="15"/>
        <v>69.23</v>
      </c>
      <c r="N46" s="5">
        <f t="shared" ca="1" si="16"/>
        <v>84.79</v>
      </c>
      <c r="O46" s="5">
        <f t="shared" ca="1" si="17"/>
        <v>70.91</v>
      </c>
      <c r="P46" s="5">
        <f t="shared" ca="1" si="18"/>
        <v>112.42</v>
      </c>
      <c r="Q46" s="5">
        <f t="shared" ca="1" si="19"/>
        <v>89.42</v>
      </c>
      <c r="S46">
        <f t="shared" ca="1" si="20"/>
        <v>-8.8546607536221955E-2</v>
      </c>
      <c r="T46">
        <f t="shared" ca="1" si="21"/>
        <v>0.99607203469117944</v>
      </c>
      <c r="U46">
        <f t="shared" ca="1" si="22"/>
        <v>1.8807668019490895</v>
      </c>
      <c r="V46">
        <f t="shared" ca="1" si="23"/>
        <v>0.35461744017364966</v>
      </c>
      <c r="W46">
        <f t="shared" ca="1" si="24"/>
        <v>0.93501148181436144</v>
      </c>
      <c r="X46">
        <f t="shared" ca="1" si="25"/>
        <v>1.5076154078727018</v>
      </c>
      <c r="Y46">
        <f t="shared" ca="1" si="26"/>
        <v>0.32705296929832495</v>
      </c>
      <c r="Z46">
        <f t="shared" ca="1" si="27"/>
        <v>0.94500600806193236</v>
      </c>
      <c r="AA46">
        <f t="shared" ca="1" si="28"/>
        <v>1.4798646727659923</v>
      </c>
      <c r="AB46">
        <f t="shared" ca="1" si="29"/>
        <v>1.0122736774459896E-2</v>
      </c>
      <c r="AC46">
        <f t="shared" ca="1" si="30"/>
        <v>0.99994876378752273</v>
      </c>
      <c r="AD46">
        <f t="shared" ca="1" si="31"/>
        <v>1.9620991450920251</v>
      </c>
      <c r="AI46" t="s">
        <v>25</v>
      </c>
      <c r="AJ46">
        <v>15</v>
      </c>
      <c r="AK46">
        <v>16</v>
      </c>
      <c r="AO46">
        <f t="shared" si="41"/>
        <v>6.5</v>
      </c>
      <c r="AP46" s="5">
        <v>104.28</v>
      </c>
      <c r="AQ46" s="5">
        <v>98.02</v>
      </c>
      <c r="AR46" s="5">
        <v>102.92</v>
      </c>
      <c r="AS46" s="5">
        <v>100.35</v>
      </c>
      <c r="AT46" s="5">
        <v>102.46</v>
      </c>
      <c r="AU46" s="5">
        <v>100.76</v>
      </c>
      <c r="AV46" s="5">
        <v>100.22</v>
      </c>
      <c r="AW46" s="5">
        <v>103.36</v>
      </c>
      <c r="AX46" s="5">
        <v>102.21</v>
      </c>
      <c r="AY46" s="5">
        <v>100.92</v>
      </c>
      <c r="AZ46" s="5">
        <v>107.76</v>
      </c>
      <c r="BA46" s="5">
        <v>95.08</v>
      </c>
      <c r="BB46">
        <f t="shared" ref="BB46" si="48">BB45+1</f>
        <v>6.5</v>
      </c>
      <c r="BC46" s="5">
        <v>103.31</v>
      </c>
      <c r="BD46" s="5">
        <v>100.08</v>
      </c>
      <c r="BE46" s="5">
        <v>106.09</v>
      </c>
      <c r="BF46" s="5">
        <v>94.75</v>
      </c>
      <c r="BG46" s="5">
        <v>102.22</v>
      </c>
      <c r="BH46" s="5">
        <v>101</v>
      </c>
      <c r="BI46" s="5">
        <v>100.82</v>
      </c>
      <c r="BJ46" s="5">
        <v>102</v>
      </c>
      <c r="BK46" s="5">
        <v>102.2</v>
      </c>
      <c r="BL46" s="5">
        <v>100.92</v>
      </c>
      <c r="BM46" s="5">
        <v>97.57</v>
      </c>
      <c r="BN46" s="5">
        <v>105.24</v>
      </c>
      <c r="BO46">
        <f t="shared" si="43"/>
        <v>6.5</v>
      </c>
      <c r="BP46" s="5">
        <v>102.94</v>
      </c>
      <c r="BQ46" s="5">
        <v>100.15</v>
      </c>
      <c r="BR46" s="5">
        <v>105.07</v>
      </c>
      <c r="BS46" s="5">
        <v>96.99</v>
      </c>
      <c r="BT46" s="5">
        <v>103.06</v>
      </c>
      <c r="BU46" s="5">
        <v>99.65</v>
      </c>
      <c r="BV46" s="5">
        <v>102.29</v>
      </c>
      <c r="BW46" s="5">
        <v>100.76</v>
      </c>
      <c r="BX46" s="5">
        <v>99.55</v>
      </c>
      <c r="BY46" s="5">
        <v>103.43</v>
      </c>
      <c r="BZ46">
        <f t="shared" si="44"/>
        <v>6.5</v>
      </c>
      <c r="CA46" s="5">
        <v>107.36</v>
      </c>
      <c r="CB46" s="5">
        <v>93.15</v>
      </c>
      <c r="CC46" s="5">
        <v>105.58</v>
      </c>
      <c r="CD46" s="5">
        <v>96.3</v>
      </c>
      <c r="CE46" s="5">
        <v>108.31</v>
      </c>
      <c r="CF46" s="5">
        <v>93.41</v>
      </c>
      <c r="CG46" s="5">
        <v>102.45</v>
      </c>
      <c r="CH46" s="5">
        <v>100.59</v>
      </c>
      <c r="CI46" s="5">
        <v>102.34</v>
      </c>
      <c r="CJ46" s="5">
        <v>100.84</v>
      </c>
      <c r="CM46" s="17" t="s">
        <v>77</v>
      </c>
      <c r="CN46" s="20">
        <v>32.213120000000004</v>
      </c>
      <c r="CO46" s="20">
        <v>-110.91410999999999</v>
      </c>
      <c r="CP46" s="19">
        <v>0.124</v>
      </c>
      <c r="CQ46" s="19">
        <v>0.1</v>
      </c>
      <c r="CR46" s="19">
        <v>0.311</v>
      </c>
      <c r="CS46" s="19">
        <v>0.1</v>
      </c>
      <c r="CT46" s="98">
        <v>294.26111111111112</v>
      </c>
      <c r="CU46" s="98">
        <v>305.92777777777781</v>
      </c>
      <c r="CV46" s="98">
        <v>310.37222222222226</v>
      </c>
      <c r="CW46" s="98">
        <v>296.48333333333335</v>
      </c>
      <c r="CX46" s="104">
        <v>1</v>
      </c>
      <c r="CY46" s="104">
        <v>2</v>
      </c>
      <c r="CZ46" s="104">
        <v>3</v>
      </c>
      <c r="DA46" s="104">
        <v>4</v>
      </c>
      <c r="DB46" s="104">
        <v>1</v>
      </c>
      <c r="DD46" s="13" t="s">
        <v>410</v>
      </c>
      <c r="DE46" s="19">
        <v>0.33200000000000002</v>
      </c>
      <c r="DG46">
        <f t="shared" si="32"/>
        <v>7</v>
      </c>
      <c r="DH46" s="5">
        <f t="shared" ca="1" si="33"/>
        <v>881.9</v>
      </c>
      <c r="DI46" s="5">
        <f t="shared" ca="1" si="34"/>
        <v>777.08</v>
      </c>
      <c r="DJ46" s="5">
        <f t="shared" ca="1" si="35"/>
        <v>768.78391418159424</v>
      </c>
      <c r="DK46" s="5">
        <f t="shared" ca="1" si="36"/>
        <v>871.2573939400794</v>
      </c>
      <c r="DL46" s="5">
        <f t="shared" ca="1" si="4"/>
        <v>75.549000000000021</v>
      </c>
      <c r="DM46" s="5">
        <f t="shared" ca="1" si="5"/>
        <v>75.108333333333377</v>
      </c>
      <c r="DN46" s="5">
        <f t="shared" ca="1" si="6"/>
        <v>74.30933333333337</v>
      </c>
      <c r="DO46" s="5">
        <f t="shared" ca="1" si="7"/>
        <v>74.640000000000029</v>
      </c>
      <c r="DP46" s="5">
        <f t="shared" ca="1" si="8"/>
        <v>33.125999999999976</v>
      </c>
      <c r="DQ46" s="5">
        <f t="shared" ca="1" si="9"/>
        <v>30.515000000000008</v>
      </c>
      <c r="DR46" s="5">
        <f t="shared" ca="1" si="10"/>
        <v>30.191999999999993</v>
      </c>
      <c r="DS46" s="5">
        <f t="shared" ca="1" si="11"/>
        <v>32.723000000000006</v>
      </c>
      <c r="DU46">
        <f t="shared" si="37"/>
        <v>7</v>
      </c>
      <c r="DV46" s="5">
        <v>985.07</v>
      </c>
      <c r="DW46" s="5">
        <v>941.10453513590221</v>
      </c>
      <c r="DX46" s="5">
        <v>931.06156110018856</v>
      </c>
      <c r="DY46" s="5">
        <v>973.18015698157581</v>
      </c>
      <c r="DZ46" s="5">
        <v>881.9</v>
      </c>
      <c r="EA46" s="5">
        <v>777.08</v>
      </c>
      <c r="EB46" s="5">
        <v>768.78391418159424</v>
      </c>
      <c r="EC46" s="5">
        <v>871.2573939400794</v>
      </c>
      <c r="EE46">
        <f t="shared" si="38"/>
        <v>7</v>
      </c>
      <c r="EF46" s="5">
        <v>42.266999999999982</v>
      </c>
      <c r="EG46" s="5">
        <v>40.378999999999984</v>
      </c>
      <c r="EH46" s="5">
        <v>39.948333333333323</v>
      </c>
      <c r="EI46" s="5">
        <v>41.75566666666667</v>
      </c>
      <c r="EJ46" s="5">
        <v>75.549000000000021</v>
      </c>
      <c r="EK46" s="5">
        <v>75.108333333333377</v>
      </c>
      <c r="EL46" s="5">
        <v>74.30933333333337</v>
      </c>
      <c r="EM46" s="5">
        <v>74.640000000000029</v>
      </c>
      <c r="EO46">
        <f t="shared" si="39"/>
        <v>7</v>
      </c>
      <c r="EP46" s="5">
        <v>33.064</v>
      </c>
      <c r="EQ46" s="5">
        <v>31.510999999999989</v>
      </c>
      <c r="ER46" s="5">
        <v>31.178000000000001</v>
      </c>
      <c r="ES46" s="5">
        <v>32.579999999999991</v>
      </c>
      <c r="ET46" s="5">
        <v>33.125999999999976</v>
      </c>
      <c r="EU46" s="5">
        <v>30.515000000000008</v>
      </c>
      <c r="EV46" s="5">
        <v>30.191999999999993</v>
      </c>
      <c r="EW46" s="5">
        <v>32.723000000000006</v>
      </c>
    </row>
    <row r="47" spans="1:158">
      <c r="A47" s="167" t="s">
        <v>587</v>
      </c>
      <c r="B47" s="167" t="s">
        <v>593</v>
      </c>
      <c r="C47" t="s">
        <v>450</v>
      </c>
      <c r="D47" s="110">
        <f>$D$10+(D43-$D$25)*$D$13</f>
        <v>0.21811111111111095</v>
      </c>
      <c r="F47" t="s">
        <v>499</v>
      </c>
      <c r="I47">
        <f t="shared" si="40"/>
        <v>7.5</v>
      </c>
      <c r="J47" s="5">
        <f t="shared" ca="1" si="12"/>
        <v>118.13</v>
      </c>
      <c r="K47" s="5">
        <f t="shared" ca="1" si="13"/>
        <v>85.08</v>
      </c>
      <c r="L47" s="5">
        <f t="shared" ca="1" si="14"/>
        <v>96.91</v>
      </c>
      <c r="M47" s="5">
        <f t="shared" ca="1" si="15"/>
        <v>58.34</v>
      </c>
      <c r="N47" s="5">
        <f t="shared" ca="1" si="16"/>
        <v>95.19</v>
      </c>
      <c r="O47" s="5">
        <f t="shared" ca="1" si="17"/>
        <v>59.9</v>
      </c>
      <c r="P47" s="5">
        <f t="shared" ca="1" si="18"/>
        <v>123.29</v>
      </c>
      <c r="Q47" s="5">
        <f t="shared" ca="1" si="19"/>
        <v>79.84</v>
      </c>
      <c r="S47">
        <f t="shared" ca="1" si="20"/>
        <v>8.5764708044513943E-2</v>
      </c>
      <c r="T47">
        <f t="shared" ca="1" si="21"/>
        <v>0.99631541935977252</v>
      </c>
      <c r="U47">
        <f t="shared" ca="1" si="22"/>
        <v>2.0617574453809016</v>
      </c>
      <c r="V47">
        <f t="shared" ca="1" si="23"/>
        <v>0.52487754485938809</v>
      </c>
      <c r="W47">
        <f t="shared" ca="1" si="24"/>
        <v>0.85117775047423616</v>
      </c>
      <c r="X47">
        <f t="shared" ca="1" si="25"/>
        <v>1.6913985781077048</v>
      </c>
      <c r="Y47">
        <f t="shared" ca="1" si="26"/>
        <v>0.50151073715945738</v>
      </c>
      <c r="Z47">
        <f t="shared" ca="1" si="27"/>
        <v>0.86515142056970451</v>
      </c>
      <c r="AA47">
        <f t="shared" ca="1" si="28"/>
        <v>1.6613789149734022</v>
      </c>
      <c r="AB47">
        <f t="shared" ca="1" si="29"/>
        <v>0.17639759906721247</v>
      </c>
      <c r="AC47">
        <f t="shared" ca="1" si="30"/>
        <v>0.98431899658765243</v>
      </c>
      <c r="AD47">
        <f t="shared" ca="1" si="31"/>
        <v>2.1518164347838091</v>
      </c>
      <c r="AI47" t="s">
        <v>26</v>
      </c>
      <c r="AJ47">
        <v>17</v>
      </c>
      <c r="AK47">
        <v>18</v>
      </c>
      <c r="AO47">
        <f t="shared" si="41"/>
        <v>7.5</v>
      </c>
      <c r="AP47" s="5">
        <v>110.71</v>
      </c>
      <c r="AQ47" s="5">
        <v>85.14</v>
      </c>
      <c r="AR47" s="5">
        <v>110.25</v>
      </c>
      <c r="AS47" s="5">
        <v>87.96</v>
      </c>
      <c r="AT47" s="5">
        <v>110.82</v>
      </c>
      <c r="AU47" s="5">
        <v>89.04</v>
      </c>
      <c r="AV47" s="5">
        <v>109.48</v>
      </c>
      <c r="AW47" s="5">
        <v>92.27</v>
      </c>
      <c r="AX47" s="5">
        <v>112.12</v>
      </c>
      <c r="AY47" s="5">
        <v>90.4</v>
      </c>
      <c r="AZ47" s="5">
        <v>118.13</v>
      </c>
      <c r="BA47" s="5">
        <v>85.08</v>
      </c>
      <c r="BB47">
        <f t="shared" ref="BB47" si="49">BB46+1</f>
        <v>7.5</v>
      </c>
      <c r="BC47" s="5">
        <v>109.66</v>
      </c>
      <c r="BD47" s="5">
        <v>87.16</v>
      </c>
      <c r="BE47" s="5">
        <v>113.72</v>
      </c>
      <c r="BF47" s="5">
        <v>82.62</v>
      </c>
      <c r="BG47" s="5">
        <v>110.78</v>
      </c>
      <c r="BH47" s="5">
        <v>89.42</v>
      </c>
      <c r="BI47" s="5">
        <v>110.27</v>
      </c>
      <c r="BJ47" s="5">
        <v>91.6</v>
      </c>
      <c r="BK47" s="5">
        <v>112.5</v>
      </c>
      <c r="BL47" s="5">
        <v>90.74</v>
      </c>
      <c r="BM47" s="5">
        <v>108.35</v>
      </c>
      <c r="BN47" s="5">
        <v>95.91</v>
      </c>
      <c r="BO47">
        <f t="shared" si="43"/>
        <v>7.5</v>
      </c>
      <c r="BP47" s="5">
        <v>110.69</v>
      </c>
      <c r="BQ47" s="5">
        <v>88.09</v>
      </c>
      <c r="BR47" s="5">
        <v>113.75</v>
      </c>
      <c r="BS47" s="5">
        <v>85.17</v>
      </c>
      <c r="BT47" s="5">
        <v>112.27</v>
      </c>
      <c r="BU47" s="5">
        <v>88.73</v>
      </c>
      <c r="BV47" s="5">
        <v>112.19</v>
      </c>
      <c r="BW47" s="5">
        <v>90.35</v>
      </c>
      <c r="BX47" s="5">
        <v>110.24</v>
      </c>
      <c r="BY47" s="5">
        <v>93.63</v>
      </c>
      <c r="BZ47">
        <f t="shared" si="44"/>
        <v>7.5</v>
      </c>
      <c r="CA47" s="5">
        <v>115.72</v>
      </c>
      <c r="CB47" s="5">
        <v>81.400000000000006</v>
      </c>
      <c r="CC47" s="5">
        <v>114.53</v>
      </c>
      <c r="CD47" s="5">
        <v>85.08</v>
      </c>
      <c r="CE47" s="5">
        <v>117.98</v>
      </c>
      <c r="CF47" s="5">
        <v>82.69</v>
      </c>
      <c r="CG47" s="5">
        <v>112.44</v>
      </c>
      <c r="CH47" s="5">
        <v>90.12</v>
      </c>
      <c r="CI47" s="5">
        <v>113.11</v>
      </c>
      <c r="CJ47" s="5">
        <v>91.17</v>
      </c>
      <c r="CM47" s="18" t="s">
        <v>78</v>
      </c>
      <c r="CN47" s="20">
        <v>32.655119999999997</v>
      </c>
      <c r="CO47" s="20">
        <v>-114.60675000000001</v>
      </c>
      <c r="CP47" s="19">
        <v>0.1</v>
      </c>
      <c r="CQ47" s="19">
        <v>0.1</v>
      </c>
      <c r="CR47" s="19">
        <v>0.1</v>
      </c>
      <c r="CS47" s="19">
        <v>0.1</v>
      </c>
      <c r="CT47" s="98">
        <v>297.03888888888895</v>
      </c>
      <c r="CU47" s="98">
        <v>308.15000000000003</v>
      </c>
      <c r="CV47" s="98">
        <v>314.26111111111112</v>
      </c>
      <c r="CW47" s="98">
        <v>298.15000000000003</v>
      </c>
      <c r="CX47" s="104">
        <v>1</v>
      </c>
      <c r="CY47" s="104">
        <v>2</v>
      </c>
      <c r="CZ47" s="104">
        <v>3</v>
      </c>
      <c r="DA47" s="104">
        <v>4</v>
      </c>
      <c r="DB47" s="104">
        <v>1</v>
      </c>
      <c r="DD47" s="13" t="s">
        <v>411</v>
      </c>
      <c r="DE47" s="19">
        <v>0.20200000000000001</v>
      </c>
      <c r="DG47">
        <f t="shared" si="32"/>
        <v>8</v>
      </c>
      <c r="DH47" s="5">
        <f t="shared" ca="1" si="33"/>
        <v>881.23</v>
      </c>
      <c r="DI47" s="5">
        <f t="shared" ca="1" si="34"/>
        <v>776.4</v>
      </c>
      <c r="DJ47" s="5">
        <f t="shared" ca="1" si="35"/>
        <v>768.11117384386375</v>
      </c>
      <c r="DK47" s="5">
        <f t="shared" ca="1" si="36"/>
        <v>870.59547937613809</v>
      </c>
      <c r="DL47" s="5">
        <f t="shared" ca="1" si="4"/>
        <v>75.276000000000025</v>
      </c>
      <c r="DM47" s="5">
        <f t="shared" ca="1" si="5"/>
        <v>74.836666666666716</v>
      </c>
      <c r="DN47" s="5">
        <f t="shared" ca="1" si="6"/>
        <v>74.040666666666709</v>
      </c>
      <c r="DO47" s="5">
        <f t="shared" ca="1" si="7"/>
        <v>74.370000000000033</v>
      </c>
      <c r="DP47" s="5">
        <f t="shared" ca="1" si="8"/>
        <v>33.023999999999972</v>
      </c>
      <c r="DQ47" s="5">
        <f t="shared" ca="1" si="9"/>
        <v>30.420000000000009</v>
      </c>
      <c r="DR47" s="5">
        <f t="shared" ca="1" si="10"/>
        <v>30.097999999999992</v>
      </c>
      <c r="DS47" s="5">
        <f t="shared" ca="1" si="11"/>
        <v>32.622000000000007</v>
      </c>
      <c r="DU47">
        <f t="shared" si="37"/>
        <v>8</v>
      </c>
      <c r="DV47" s="5">
        <v>984.55</v>
      </c>
      <c r="DW47" s="5">
        <v>940.60774368121281</v>
      </c>
      <c r="DX47" s="5">
        <v>930.57007114336091</v>
      </c>
      <c r="DY47" s="5">
        <v>972.66643340697647</v>
      </c>
      <c r="DZ47" s="5">
        <v>881.23</v>
      </c>
      <c r="EA47" s="5">
        <v>776.4</v>
      </c>
      <c r="EB47" s="5">
        <v>768.11117384386375</v>
      </c>
      <c r="EC47" s="5">
        <v>870.59547937613809</v>
      </c>
      <c r="EE47">
        <f t="shared" si="38"/>
        <v>8</v>
      </c>
      <c r="EF47" s="5">
        <v>42.127999999999979</v>
      </c>
      <c r="EG47" s="5">
        <v>40.245999999999981</v>
      </c>
      <c r="EH47" s="5">
        <v>39.816666666666656</v>
      </c>
      <c r="EI47" s="5">
        <v>41.619333333333337</v>
      </c>
      <c r="EJ47" s="5">
        <v>75.276000000000025</v>
      </c>
      <c r="EK47" s="5">
        <v>74.836666666666716</v>
      </c>
      <c r="EL47" s="5">
        <v>74.040666666666709</v>
      </c>
      <c r="EM47" s="5">
        <v>74.370000000000033</v>
      </c>
      <c r="EO47">
        <f t="shared" si="39"/>
        <v>8</v>
      </c>
      <c r="EP47" s="5">
        <v>32.936</v>
      </c>
      <c r="EQ47" s="5">
        <v>31.413999999999987</v>
      </c>
      <c r="ER47" s="5">
        <v>31.082000000000001</v>
      </c>
      <c r="ES47" s="5">
        <v>32.47999999999999</v>
      </c>
      <c r="ET47" s="5">
        <v>33.023999999999972</v>
      </c>
      <c r="EU47" s="5">
        <v>30.420000000000009</v>
      </c>
      <c r="EV47" s="5">
        <v>30.097999999999992</v>
      </c>
      <c r="EW47" s="5">
        <v>32.622000000000007</v>
      </c>
    </row>
    <row r="48" spans="1:158">
      <c r="A48" s="167" t="s">
        <v>587</v>
      </c>
      <c r="B48" s="167" t="s">
        <v>593</v>
      </c>
      <c r="C48" t="s">
        <v>452</v>
      </c>
      <c r="D48" s="110">
        <f>$D$10+(D44-$D$25)*$D$13</f>
        <v>0.27477777777777768</v>
      </c>
      <c r="F48" t="s">
        <v>499</v>
      </c>
      <c r="I48">
        <f t="shared" si="40"/>
        <v>8.5</v>
      </c>
      <c r="J48" s="5">
        <f t="shared" ca="1" si="12"/>
        <v>129.52000000000001</v>
      </c>
      <c r="K48" s="5">
        <f t="shared" ca="1" si="13"/>
        <v>76.03</v>
      </c>
      <c r="L48" s="5">
        <f t="shared" ca="1" si="14"/>
        <v>109.14</v>
      </c>
      <c r="M48" s="5">
        <f t="shared" ca="1" si="15"/>
        <v>47.7</v>
      </c>
      <c r="N48" s="5">
        <f t="shared" ca="1" si="16"/>
        <v>107.08</v>
      </c>
      <c r="O48" s="5">
        <f t="shared" ca="1" si="17"/>
        <v>49.4</v>
      </c>
      <c r="P48" s="5">
        <f t="shared" ca="1" si="18"/>
        <v>135.44999999999999</v>
      </c>
      <c r="Q48" s="5">
        <f t="shared" ca="1" si="19"/>
        <v>73.02</v>
      </c>
      <c r="S48">
        <f t="shared" ca="1" si="20"/>
        <v>0.24141381680650539</v>
      </c>
      <c r="T48">
        <f t="shared" ca="1" si="21"/>
        <v>0.97042226327249681</v>
      </c>
      <c r="U48">
        <f t="shared" ca="1" si="22"/>
        <v>2.2605504471830558</v>
      </c>
      <c r="V48">
        <f t="shared" ca="1" si="23"/>
        <v>0.67301251350977331</v>
      </c>
      <c r="W48">
        <f t="shared" ca="1" si="24"/>
        <v>0.73963109497860968</v>
      </c>
      <c r="X48">
        <f t="shared" ca="1" si="25"/>
        <v>1.9048523456266113</v>
      </c>
      <c r="Y48">
        <f t="shared" ca="1" si="26"/>
        <v>0.65077421726585094</v>
      </c>
      <c r="Z48">
        <f t="shared" ca="1" si="27"/>
        <v>0.7592713073348808</v>
      </c>
      <c r="AA48">
        <f t="shared" ca="1" si="28"/>
        <v>1.8688985630355281</v>
      </c>
      <c r="AB48">
        <f t="shared" ca="1" si="29"/>
        <v>0.29203787358433242</v>
      </c>
      <c r="AC48">
        <f t="shared" ca="1" si="30"/>
        <v>0.95640675467728764</v>
      </c>
      <c r="AD48">
        <f t="shared" ca="1" si="31"/>
        <v>2.3640484718263193</v>
      </c>
      <c r="AI48" t="s">
        <v>27</v>
      </c>
      <c r="AJ48">
        <v>19</v>
      </c>
      <c r="AK48">
        <v>20</v>
      </c>
      <c r="AO48">
        <f t="shared" si="41"/>
        <v>8.5</v>
      </c>
      <c r="AP48" s="5">
        <v>118.35</v>
      </c>
      <c r="AQ48" s="5">
        <v>72.83</v>
      </c>
      <c r="AR48" s="5">
        <v>118.6</v>
      </c>
      <c r="AS48" s="5">
        <v>76.14</v>
      </c>
      <c r="AT48" s="5">
        <v>120.1</v>
      </c>
      <c r="AU48" s="5">
        <v>77.989999999999995</v>
      </c>
      <c r="AV48" s="5">
        <v>119.39</v>
      </c>
      <c r="AW48" s="5">
        <v>81.81</v>
      </c>
      <c r="AX48" s="5">
        <v>122.74</v>
      </c>
      <c r="AY48" s="5">
        <v>80.650000000000006</v>
      </c>
      <c r="AZ48" s="5">
        <v>129.52000000000001</v>
      </c>
      <c r="BA48" s="5">
        <v>76.03</v>
      </c>
      <c r="BB48">
        <f t="shared" ref="BB48" si="50">BB47+1</f>
        <v>8.5</v>
      </c>
      <c r="BC48" s="5">
        <v>117.11</v>
      </c>
      <c r="BD48" s="5">
        <v>74.81</v>
      </c>
      <c r="BE48" s="5">
        <v>122.69</v>
      </c>
      <c r="BF48" s="5">
        <v>71.099999999999994</v>
      </c>
      <c r="BG48" s="5">
        <v>120.2</v>
      </c>
      <c r="BH48" s="5">
        <v>78.47</v>
      </c>
      <c r="BI48" s="5">
        <v>120.39</v>
      </c>
      <c r="BJ48" s="5">
        <v>81.34</v>
      </c>
      <c r="BK48" s="5">
        <v>123.46</v>
      </c>
      <c r="BL48" s="5">
        <v>81.400000000000006</v>
      </c>
      <c r="BM48" s="5">
        <v>119.47</v>
      </c>
      <c r="BN48" s="5">
        <v>86.32</v>
      </c>
      <c r="BO48">
        <f t="shared" si="43"/>
        <v>8.5</v>
      </c>
      <c r="BP48" s="5">
        <v>119.45</v>
      </c>
      <c r="BQ48" s="5">
        <v>76.489999999999995</v>
      </c>
      <c r="BR48" s="5">
        <v>123.54</v>
      </c>
      <c r="BS48" s="5">
        <v>74.83</v>
      </c>
      <c r="BT48" s="5">
        <v>122.36</v>
      </c>
      <c r="BU48" s="5">
        <v>78.36</v>
      </c>
      <c r="BV48" s="5">
        <v>122.83</v>
      </c>
      <c r="BW48" s="5">
        <v>80.28</v>
      </c>
      <c r="BX48" s="5">
        <v>121.39</v>
      </c>
      <c r="BY48" s="5">
        <v>84.53</v>
      </c>
      <c r="BZ48">
        <f t="shared" si="44"/>
        <v>8.5</v>
      </c>
      <c r="CA48" s="5">
        <v>125.46</v>
      </c>
      <c r="CB48" s="5">
        <v>70.62</v>
      </c>
      <c r="CC48" s="5">
        <v>124.59</v>
      </c>
      <c r="CD48" s="5">
        <v>74.55</v>
      </c>
      <c r="CE48" s="5">
        <v>128.88</v>
      </c>
      <c r="CF48" s="5">
        <v>73</v>
      </c>
      <c r="CG48" s="5">
        <v>123.15</v>
      </c>
      <c r="CH48" s="5">
        <v>80.48</v>
      </c>
      <c r="CI48" s="5">
        <v>124.49</v>
      </c>
      <c r="CJ48" s="5">
        <v>82.34</v>
      </c>
      <c r="CM48" s="18" t="s">
        <v>79</v>
      </c>
      <c r="CN48" s="20">
        <v>39.256520000000002</v>
      </c>
      <c r="CO48" s="20">
        <v>-120.71122</v>
      </c>
      <c r="CP48" s="19">
        <v>0.32200000000000001</v>
      </c>
      <c r="CQ48" s="19">
        <v>0.28199999999999997</v>
      </c>
      <c r="CR48" s="19">
        <v>0.1</v>
      </c>
      <c r="CS48" s="19">
        <v>0.27600000000000002</v>
      </c>
      <c r="CT48" s="98">
        <v>279.81666666666666</v>
      </c>
      <c r="CU48" s="98">
        <v>289.26111111111112</v>
      </c>
      <c r="CV48" s="98">
        <v>298.15000000000003</v>
      </c>
      <c r="CW48" s="98">
        <v>283.14999999999998</v>
      </c>
      <c r="CX48" s="104">
        <v>1</v>
      </c>
      <c r="CY48" s="104">
        <v>2</v>
      </c>
      <c r="CZ48" s="104">
        <v>3</v>
      </c>
      <c r="DA48" s="104">
        <v>4</v>
      </c>
      <c r="DB48" s="104">
        <v>1</v>
      </c>
      <c r="DD48" s="13" t="s">
        <v>412</v>
      </c>
      <c r="DE48" s="19">
        <v>0.45800000000000002</v>
      </c>
      <c r="DG48">
        <f t="shared" si="32"/>
        <v>9</v>
      </c>
      <c r="DH48" s="5">
        <f t="shared" ca="1" si="33"/>
        <v>880.42</v>
      </c>
      <c r="DI48" s="5">
        <f t="shared" ca="1" si="34"/>
        <v>775.61</v>
      </c>
      <c r="DJ48" s="5">
        <f t="shared" ca="1" si="35"/>
        <v>767.32960786326532</v>
      </c>
      <c r="DK48" s="5">
        <f t="shared" ca="1" si="36"/>
        <v>869.7952543062986</v>
      </c>
      <c r="DL48" s="5">
        <f t="shared" ca="1" si="4"/>
        <v>75.003000000000029</v>
      </c>
      <c r="DM48" s="5">
        <f t="shared" ca="1" si="5"/>
        <v>74.565000000000055</v>
      </c>
      <c r="DN48" s="5">
        <f t="shared" ca="1" si="6"/>
        <v>73.772000000000048</v>
      </c>
      <c r="DO48" s="5">
        <f t="shared" ca="1" si="7"/>
        <v>74.100000000000037</v>
      </c>
      <c r="DP48" s="5">
        <f t="shared" ca="1" si="8"/>
        <v>32.921999999999969</v>
      </c>
      <c r="DQ48" s="5">
        <f t="shared" ca="1" si="9"/>
        <v>30.32500000000001</v>
      </c>
      <c r="DR48" s="5">
        <f t="shared" ca="1" si="10"/>
        <v>30.003999999999991</v>
      </c>
      <c r="DS48" s="5">
        <f t="shared" ca="1" si="11"/>
        <v>32.521000000000008</v>
      </c>
      <c r="DU48">
        <f t="shared" si="37"/>
        <v>9</v>
      </c>
      <c r="DV48" s="5">
        <v>983.96</v>
      </c>
      <c r="DW48" s="5">
        <v>940.04407645377717</v>
      </c>
      <c r="DX48" s="5">
        <v>930.01241907696044</v>
      </c>
      <c r="DY48" s="5">
        <v>972.08355473579672</v>
      </c>
      <c r="DZ48" s="5">
        <v>880.42</v>
      </c>
      <c r="EA48" s="5">
        <v>775.61</v>
      </c>
      <c r="EB48" s="5">
        <v>767.32960786326532</v>
      </c>
      <c r="EC48" s="5">
        <v>869.7952543062986</v>
      </c>
      <c r="EE48">
        <f t="shared" si="38"/>
        <v>9</v>
      </c>
      <c r="EF48" s="5">
        <v>41.988999999999976</v>
      </c>
      <c r="EG48" s="5">
        <v>40.112999999999978</v>
      </c>
      <c r="EH48" s="5">
        <v>39.684999999999988</v>
      </c>
      <c r="EI48" s="5">
        <v>41.483000000000004</v>
      </c>
      <c r="EJ48" s="5">
        <v>75.003000000000029</v>
      </c>
      <c r="EK48" s="5">
        <v>74.565000000000055</v>
      </c>
      <c r="EL48" s="5">
        <v>73.772000000000048</v>
      </c>
      <c r="EM48" s="5">
        <v>74.100000000000037</v>
      </c>
      <c r="EO48">
        <f t="shared" si="39"/>
        <v>9</v>
      </c>
      <c r="EP48" s="5">
        <v>32.808</v>
      </c>
      <c r="EQ48" s="5">
        <v>31.316999999999986</v>
      </c>
      <c r="ER48" s="5">
        <v>30.986000000000001</v>
      </c>
      <c r="ES48" s="5">
        <v>32.379999999999988</v>
      </c>
      <c r="ET48" s="5">
        <v>32.921999999999969</v>
      </c>
      <c r="EU48" s="5">
        <v>30.32500000000001</v>
      </c>
      <c r="EV48" s="5">
        <v>30.003999999999991</v>
      </c>
      <c r="EW48" s="5">
        <v>32.521000000000008</v>
      </c>
    </row>
    <row r="49" spans="1:153">
      <c r="A49" s="167" t="s">
        <v>589</v>
      </c>
      <c r="B49" s="167" t="s">
        <v>594</v>
      </c>
      <c r="C49" t="s">
        <v>425</v>
      </c>
      <c r="D49" s="110">
        <f>VLOOKUP(D14,$DD$38:$DE$58,2,FALSE)</f>
        <v>0.33200000000000002</v>
      </c>
      <c r="F49" t="s">
        <v>322</v>
      </c>
      <c r="I49">
        <f t="shared" si="40"/>
        <v>9.5</v>
      </c>
      <c r="J49" s="5">
        <f t="shared" ca="1" si="12"/>
        <v>142.4</v>
      </c>
      <c r="K49" s="5">
        <f t="shared" ca="1" si="13"/>
        <v>68.48</v>
      </c>
      <c r="L49" s="5">
        <f t="shared" ca="1" si="14"/>
        <v>124.81</v>
      </c>
      <c r="M49" s="5">
        <f t="shared" ca="1" si="15"/>
        <v>38.229999999999997</v>
      </c>
      <c r="N49" s="5">
        <f t="shared" ca="1" si="16"/>
        <v>122.08</v>
      </c>
      <c r="O49" s="5">
        <f t="shared" ca="1" si="17"/>
        <v>39.549999999999997</v>
      </c>
      <c r="P49" s="5">
        <f t="shared" ca="1" si="18"/>
        <v>149.29</v>
      </c>
      <c r="Q49" s="5">
        <f t="shared" ca="1" si="19"/>
        <v>65.180000000000007</v>
      </c>
      <c r="S49">
        <f t="shared" ca="1" si="20"/>
        <v>0.3668259813887641</v>
      </c>
      <c r="T49">
        <f t="shared" ca="1" si="21"/>
        <v>0.93028957823796465</v>
      </c>
      <c r="U49">
        <f t="shared" ca="1" si="22"/>
        <v>2.4853488548399252</v>
      </c>
      <c r="V49">
        <f t="shared" ca="1" si="23"/>
        <v>0.78553298758800605</v>
      </c>
      <c r="W49">
        <f t="shared" ca="1" si="24"/>
        <v>0.61881978427573037</v>
      </c>
      <c r="X49">
        <f t="shared" ca="1" si="25"/>
        <v>2.1783454394141226</v>
      </c>
      <c r="Y49">
        <f t="shared" ca="1" si="26"/>
        <v>0.77106920668312628</v>
      </c>
      <c r="Z49">
        <f t="shared" ca="1" si="27"/>
        <v>0.63675134747015205</v>
      </c>
      <c r="AA49">
        <f t="shared" ca="1" si="28"/>
        <v>2.1306979508346777</v>
      </c>
      <c r="AB49">
        <f t="shared" ca="1" si="29"/>
        <v>0.41976893100277712</v>
      </c>
      <c r="AC49">
        <f t="shared" ca="1" si="30"/>
        <v>0.90763100683305531</v>
      </c>
      <c r="AD49">
        <f t="shared" ca="1" si="31"/>
        <v>2.6056020403023346</v>
      </c>
      <c r="AI49" t="s">
        <v>39</v>
      </c>
      <c r="AJ49">
        <v>21</v>
      </c>
      <c r="AK49">
        <v>22</v>
      </c>
      <c r="AO49">
        <f t="shared" si="41"/>
        <v>9.5</v>
      </c>
      <c r="AP49" s="5">
        <v>128.01</v>
      </c>
      <c r="AQ49" s="5">
        <v>61.82</v>
      </c>
      <c r="AR49" s="5">
        <v>128.72</v>
      </c>
      <c r="AS49" s="5">
        <v>65.37</v>
      </c>
      <c r="AT49" s="5">
        <v>130.96</v>
      </c>
      <c r="AU49" s="5">
        <v>67.900000000000006</v>
      </c>
      <c r="AV49" s="5">
        <v>130.57</v>
      </c>
      <c r="AW49" s="5">
        <v>72.39</v>
      </c>
      <c r="AX49" s="5">
        <v>134.65</v>
      </c>
      <c r="AY49" s="5">
        <v>72.05</v>
      </c>
      <c r="AZ49" s="5">
        <v>142.4</v>
      </c>
      <c r="BA49" s="5">
        <v>68.48</v>
      </c>
      <c r="BB49">
        <f t="shared" ref="BB49" si="51">BB48+1</f>
        <v>9.5</v>
      </c>
      <c r="BC49" s="5">
        <v>126.43</v>
      </c>
      <c r="BD49" s="5">
        <v>63.34</v>
      </c>
      <c r="BE49" s="5">
        <v>133.81</v>
      </c>
      <c r="BF49" s="5">
        <v>60.89</v>
      </c>
      <c r="BG49" s="5">
        <v>131.16</v>
      </c>
      <c r="BH49" s="5">
        <v>68.58</v>
      </c>
      <c r="BI49" s="5">
        <v>131.80000000000001</v>
      </c>
      <c r="BJ49" s="5">
        <v>72.16</v>
      </c>
      <c r="BK49" s="5">
        <v>135.61000000000001</v>
      </c>
      <c r="BL49" s="5">
        <v>73.23</v>
      </c>
      <c r="BM49" s="5">
        <v>131.44999999999999</v>
      </c>
      <c r="BN49" s="5">
        <v>78.209999999999994</v>
      </c>
      <c r="BO49">
        <f t="shared" si="43"/>
        <v>9.5</v>
      </c>
      <c r="BP49" s="5">
        <v>129.91999999999999</v>
      </c>
      <c r="BQ49" s="5">
        <v>66.040000000000006</v>
      </c>
      <c r="BR49" s="5">
        <v>135.12</v>
      </c>
      <c r="BS49" s="5">
        <v>65.31</v>
      </c>
      <c r="BT49" s="5">
        <v>133.93</v>
      </c>
      <c r="BU49" s="5">
        <v>69.209999999999994</v>
      </c>
      <c r="BV49" s="5">
        <v>134.74</v>
      </c>
      <c r="BW49" s="5">
        <v>71.94</v>
      </c>
      <c r="BX49" s="5">
        <v>133.5</v>
      </c>
      <c r="BY49" s="5">
        <v>76.489999999999995</v>
      </c>
      <c r="BZ49">
        <f t="shared" si="44"/>
        <v>9.5</v>
      </c>
      <c r="CA49" s="5">
        <v>137.36000000000001</v>
      </c>
      <c r="CB49" s="5">
        <v>61.06</v>
      </c>
      <c r="CC49" s="5">
        <v>136.43</v>
      </c>
      <c r="CD49" s="5">
        <v>65.430000000000007</v>
      </c>
      <c r="CE49" s="5">
        <v>141.58000000000001</v>
      </c>
      <c r="CF49" s="5">
        <v>64.83</v>
      </c>
      <c r="CG49" s="5">
        <v>135.13999999999999</v>
      </c>
      <c r="CH49" s="5">
        <v>71.989999999999995</v>
      </c>
      <c r="CI49" s="5">
        <v>136.93</v>
      </c>
      <c r="CJ49" s="5">
        <v>74.63</v>
      </c>
      <c r="CM49" s="18" t="s">
        <v>80</v>
      </c>
      <c r="CN49" s="20">
        <v>40.797539999999998</v>
      </c>
      <c r="CO49" s="20">
        <v>-124.15303</v>
      </c>
      <c r="CP49" s="19">
        <v>0.43399999999999994</v>
      </c>
      <c r="CQ49" s="19">
        <v>0.42399999999999999</v>
      </c>
      <c r="CR49" s="19">
        <v>0.45299999999999996</v>
      </c>
      <c r="CS49" s="19">
        <v>0.46400000000000002</v>
      </c>
      <c r="CT49" s="98">
        <v>286.48333333333335</v>
      </c>
      <c r="CU49" s="98">
        <v>288.70555555555558</v>
      </c>
      <c r="CV49" s="98">
        <v>290.92777777777781</v>
      </c>
      <c r="CW49" s="98">
        <v>287.59444444444449</v>
      </c>
      <c r="CX49" s="104">
        <v>5</v>
      </c>
      <c r="CY49" s="104">
        <v>6</v>
      </c>
      <c r="CZ49" s="104">
        <v>7</v>
      </c>
      <c r="DA49" s="104">
        <v>8</v>
      </c>
      <c r="DB49" s="104">
        <v>2</v>
      </c>
      <c r="DD49" s="13" t="s">
        <v>413</v>
      </c>
      <c r="DE49" s="19">
        <v>0.22800000000000001</v>
      </c>
      <c r="DG49">
        <f t="shared" si="32"/>
        <v>10</v>
      </c>
      <c r="DH49" s="5">
        <f t="shared" ca="1" si="33"/>
        <v>879.54</v>
      </c>
      <c r="DI49" s="5">
        <f t="shared" ca="1" si="34"/>
        <v>774.71</v>
      </c>
      <c r="DJ49" s="5">
        <f t="shared" ca="1" si="35"/>
        <v>766.43921623979872</v>
      </c>
      <c r="DK49" s="5">
        <f t="shared" ca="1" si="36"/>
        <v>868.92587398350997</v>
      </c>
      <c r="DL49" s="5">
        <f t="shared" ca="1" si="4"/>
        <v>74.73</v>
      </c>
      <c r="DM49" s="5">
        <f t="shared" ca="1" si="5"/>
        <v>74.293333333333337</v>
      </c>
      <c r="DN49" s="5">
        <f t="shared" ca="1" si="6"/>
        <v>73.50333333333333</v>
      </c>
      <c r="DO49" s="5">
        <f t="shared" ca="1" si="7"/>
        <v>73.83</v>
      </c>
      <c r="DP49" s="5">
        <f t="shared" ca="1" si="8"/>
        <v>32.82</v>
      </c>
      <c r="DQ49" s="5">
        <f t="shared" ca="1" si="9"/>
        <v>30.23</v>
      </c>
      <c r="DR49" s="5">
        <f t="shared" ca="1" si="10"/>
        <v>29.91</v>
      </c>
      <c r="DS49" s="5">
        <f t="shared" ca="1" si="11"/>
        <v>32.42</v>
      </c>
      <c r="DU49">
        <f t="shared" si="37"/>
        <v>10</v>
      </c>
      <c r="DV49" s="5">
        <v>983.29</v>
      </c>
      <c r="DW49" s="5">
        <v>939.40397977177372</v>
      </c>
      <c r="DX49" s="5">
        <v>929.37915317104807</v>
      </c>
      <c r="DY49" s="5">
        <v>971.42164166852467</v>
      </c>
      <c r="DZ49" s="5">
        <v>879.54</v>
      </c>
      <c r="EA49" s="5">
        <v>774.71</v>
      </c>
      <c r="EB49" s="5">
        <v>766.43921623979872</v>
      </c>
      <c r="EC49" s="5">
        <v>868.92587398350997</v>
      </c>
      <c r="EE49">
        <f t="shared" si="38"/>
        <v>10</v>
      </c>
      <c r="EF49" s="5">
        <v>41.849999999999994</v>
      </c>
      <c r="EG49" s="5">
        <v>39.980000000000004</v>
      </c>
      <c r="EH49" s="5">
        <v>39.553333333333335</v>
      </c>
      <c r="EI49" s="5">
        <v>41.346666666666671</v>
      </c>
      <c r="EJ49" s="5">
        <v>74.73</v>
      </c>
      <c r="EK49" s="5">
        <v>74.293333333333337</v>
      </c>
      <c r="EL49" s="5">
        <v>73.50333333333333</v>
      </c>
      <c r="EM49" s="5">
        <v>73.83</v>
      </c>
      <c r="EO49">
        <f t="shared" si="39"/>
        <v>10</v>
      </c>
      <c r="EP49" s="5">
        <v>32.68</v>
      </c>
      <c r="EQ49" s="5">
        <v>31.22</v>
      </c>
      <c r="ER49" s="5">
        <v>30.89</v>
      </c>
      <c r="ES49" s="5">
        <v>32.28</v>
      </c>
      <c r="ET49" s="5">
        <v>32.82</v>
      </c>
      <c r="EU49" s="5">
        <v>30.23</v>
      </c>
      <c r="EV49" s="5">
        <v>29.91</v>
      </c>
      <c r="EW49" s="5">
        <v>32.42</v>
      </c>
    </row>
    <row r="50" spans="1:153">
      <c r="A50" s="167" t="s">
        <v>589</v>
      </c>
      <c r="B50" s="167" t="s">
        <v>594</v>
      </c>
      <c r="C50" t="s">
        <v>426</v>
      </c>
      <c r="D50" s="110">
        <f t="shared" ref="D50:D52" si="52">VLOOKUP(D15,$DD$38:$DE$58,2,FALSE)</f>
        <v>0.33200000000000002</v>
      </c>
      <c r="F50" t="s">
        <v>322</v>
      </c>
      <c r="I50">
        <f t="shared" si="40"/>
        <v>10.5</v>
      </c>
      <c r="J50" s="5">
        <f t="shared" ca="1" si="12"/>
        <v>157.01</v>
      </c>
      <c r="K50" s="5">
        <f t="shared" ca="1" si="13"/>
        <v>62.98</v>
      </c>
      <c r="L50" s="5">
        <f t="shared" ca="1" si="14"/>
        <v>146.63</v>
      </c>
      <c r="M50" s="5">
        <f t="shared" ca="1" si="15"/>
        <v>30.47</v>
      </c>
      <c r="N50" s="5">
        <f t="shared" ca="1" si="16"/>
        <v>142.77000000000001</v>
      </c>
      <c r="O50" s="5">
        <f t="shared" ca="1" si="17"/>
        <v>31.52</v>
      </c>
      <c r="P50" s="5">
        <f t="shared" ca="1" si="18"/>
        <v>164.85</v>
      </c>
      <c r="Q50" s="5">
        <f t="shared" ca="1" si="19"/>
        <v>60.61</v>
      </c>
      <c r="S50">
        <f t="shared" ca="1" si="20"/>
        <v>0.454301492024625</v>
      </c>
      <c r="T50">
        <f t="shared" ca="1" si="21"/>
        <v>0.89084799732850029</v>
      </c>
      <c r="U50">
        <f t="shared" ca="1" si="22"/>
        <v>2.7403414585562964</v>
      </c>
      <c r="V50">
        <f t="shared" ca="1" si="23"/>
        <v>0.86189478878453796</v>
      </c>
      <c r="W50">
        <f t="shared" ca="1" si="24"/>
        <v>0.50708714543563094</v>
      </c>
      <c r="X50">
        <f t="shared" ca="1" si="25"/>
        <v>2.5591762821992852</v>
      </c>
      <c r="Y50">
        <f t="shared" ca="1" si="26"/>
        <v>0.85245772600616254</v>
      </c>
      <c r="Z50">
        <f t="shared" ca="1" si="27"/>
        <v>0.52279616044152655</v>
      </c>
      <c r="AA50">
        <f t="shared" ca="1" si="28"/>
        <v>2.4918065730723042</v>
      </c>
      <c r="AB50">
        <f t="shared" ca="1" si="29"/>
        <v>0.49075169064409202</v>
      </c>
      <c r="AC50">
        <f t="shared" ca="1" si="30"/>
        <v>0.87129947671851915</v>
      </c>
      <c r="AD50">
        <f t="shared" ca="1" si="31"/>
        <v>2.8771752719126522</v>
      </c>
      <c r="AI50" t="s">
        <v>40</v>
      </c>
      <c r="AJ50">
        <v>23</v>
      </c>
      <c r="AK50">
        <v>24</v>
      </c>
      <c r="AO50">
        <f t="shared" si="41"/>
        <v>10.5</v>
      </c>
      <c r="AP50" s="5">
        <v>140.79</v>
      </c>
      <c r="AQ50" s="5">
        <v>51.83</v>
      </c>
      <c r="AR50" s="5">
        <v>141.46</v>
      </c>
      <c r="AS50" s="5">
        <v>56.1</v>
      </c>
      <c r="AT50" s="5">
        <v>144.09</v>
      </c>
      <c r="AU50" s="5">
        <v>59.69</v>
      </c>
      <c r="AV50" s="5">
        <v>143.56</v>
      </c>
      <c r="AW50" s="5">
        <v>64.540000000000006</v>
      </c>
      <c r="AX50" s="5">
        <v>148.25</v>
      </c>
      <c r="AY50" s="5">
        <v>65.209999999999994</v>
      </c>
      <c r="AZ50" s="5">
        <v>157.01</v>
      </c>
      <c r="BA50" s="5">
        <v>62.98</v>
      </c>
      <c r="BB50">
        <f t="shared" ref="BB50" si="53">BB49+1</f>
        <v>10.5</v>
      </c>
      <c r="BC50" s="5">
        <v>138.68</v>
      </c>
      <c r="BD50" s="5">
        <v>53.32</v>
      </c>
      <c r="BE50" s="5">
        <v>147.97999999999999</v>
      </c>
      <c r="BF50" s="5">
        <v>52.66</v>
      </c>
      <c r="BG50" s="5">
        <v>144.32</v>
      </c>
      <c r="BH50" s="5">
        <v>60.44</v>
      </c>
      <c r="BI50" s="5">
        <v>145</v>
      </c>
      <c r="BJ50" s="5">
        <v>64.59</v>
      </c>
      <c r="BK50" s="5">
        <v>149.30000000000001</v>
      </c>
      <c r="BL50" s="5">
        <v>66.760000000000005</v>
      </c>
      <c r="BM50" s="5">
        <v>144.66</v>
      </c>
      <c r="BN50" s="5">
        <v>71.349999999999994</v>
      </c>
      <c r="BO50">
        <f t="shared" si="43"/>
        <v>10.5</v>
      </c>
      <c r="BP50" s="5">
        <v>142.91999999999999</v>
      </c>
      <c r="BQ50" s="5">
        <v>57.44</v>
      </c>
      <c r="BR50" s="5">
        <v>149.12</v>
      </c>
      <c r="BS50" s="5">
        <v>57.86</v>
      </c>
      <c r="BT50" s="5">
        <v>147.53</v>
      </c>
      <c r="BU50" s="5">
        <v>61.82</v>
      </c>
      <c r="BV50" s="5">
        <v>148.36000000000001</v>
      </c>
      <c r="BW50" s="5">
        <v>64.930000000000007</v>
      </c>
      <c r="BX50" s="5">
        <v>146.93</v>
      </c>
      <c r="BY50" s="5">
        <v>69.98</v>
      </c>
      <c r="BZ50">
        <f t="shared" si="44"/>
        <v>10.5</v>
      </c>
      <c r="CA50" s="5">
        <v>152.12</v>
      </c>
      <c r="CB50" s="5">
        <v>53.71</v>
      </c>
      <c r="CC50" s="5">
        <v>150.61000000000001</v>
      </c>
      <c r="CD50" s="5">
        <v>58.3</v>
      </c>
      <c r="CE50" s="5">
        <v>156.44999999999999</v>
      </c>
      <c r="CF50" s="5">
        <v>58.78</v>
      </c>
      <c r="CG50" s="5">
        <v>148.81</v>
      </c>
      <c r="CH50" s="5">
        <v>65.31</v>
      </c>
      <c r="CI50" s="5">
        <v>150.74</v>
      </c>
      <c r="CJ50" s="5">
        <v>68.650000000000006</v>
      </c>
      <c r="CM50" s="17" t="s">
        <v>81</v>
      </c>
      <c r="CN50" s="20">
        <v>36.732170000000004</v>
      </c>
      <c r="CO50" s="20">
        <v>-119.78995999999999</v>
      </c>
      <c r="CP50" s="19">
        <v>0.30999999999999994</v>
      </c>
      <c r="CQ50" s="19">
        <v>0.1</v>
      </c>
      <c r="CR50" s="19">
        <v>0.1</v>
      </c>
      <c r="CS50" s="19">
        <v>0.20800000000000002</v>
      </c>
      <c r="CT50" s="98">
        <v>290.37222222222226</v>
      </c>
      <c r="CU50" s="98">
        <v>302.03888888888895</v>
      </c>
      <c r="CV50" s="98">
        <v>308.70555555555558</v>
      </c>
      <c r="CW50" s="98">
        <v>292.03888888888895</v>
      </c>
      <c r="CX50" s="104">
        <v>5</v>
      </c>
      <c r="CY50" s="104">
        <v>6</v>
      </c>
      <c r="CZ50" s="104">
        <v>7</v>
      </c>
      <c r="DA50" s="104">
        <v>8</v>
      </c>
      <c r="DB50" s="104">
        <v>2</v>
      </c>
      <c r="DD50" s="13" t="s">
        <v>414</v>
      </c>
      <c r="DE50" s="19">
        <v>0.38500000000000001</v>
      </c>
      <c r="DG50">
        <f t="shared" si="32"/>
        <v>11</v>
      </c>
      <c r="DH50" s="5">
        <f t="shared" ca="1" si="33"/>
        <v>878.55</v>
      </c>
      <c r="DI50" s="5">
        <f t="shared" ca="1" si="34"/>
        <v>773.75</v>
      </c>
      <c r="DJ50" s="5">
        <f t="shared" ca="1" si="35"/>
        <v>765.4894651747677</v>
      </c>
      <c r="DK50" s="5">
        <f t="shared" ca="1" si="36"/>
        <v>867.94782112037274</v>
      </c>
      <c r="DL50" s="5">
        <f t="shared" ca="1" si="4"/>
        <v>73.941666666666677</v>
      </c>
      <c r="DM50" s="5">
        <f t="shared" ca="1" si="5"/>
        <v>73.510999999999996</v>
      </c>
      <c r="DN50" s="5">
        <f t="shared" ca="1" si="6"/>
        <v>72.728999999999999</v>
      </c>
      <c r="DO50" s="5">
        <f t="shared" ca="1" si="7"/>
        <v>73.051333333333332</v>
      </c>
      <c r="DP50" s="5">
        <f t="shared" ca="1" si="8"/>
        <v>32.527999999999999</v>
      </c>
      <c r="DQ50" s="5">
        <f t="shared" ca="1" si="9"/>
        <v>29.962</v>
      </c>
      <c r="DR50" s="5">
        <f t="shared" ca="1" si="10"/>
        <v>29.645</v>
      </c>
      <c r="DS50" s="5">
        <f t="shared" ca="1" si="11"/>
        <v>32.132000000000005</v>
      </c>
      <c r="DU50">
        <f t="shared" si="37"/>
        <v>11</v>
      </c>
      <c r="DV50" s="5">
        <v>982.57</v>
      </c>
      <c r="DW50" s="5">
        <v>938.71611468066567</v>
      </c>
      <c r="DX50" s="5">
        <v>928.69862861544073</v>
      </c>
      <c r="DY50" s="5">
        <v>970.71033210369512</v>
      </c>
      <c r="DZ50" s="5">
        <v>878.55</v>
      </c>
      <c r="EA50" s="5">
        <v>773.75</v>
      </c>
      <c r="EB50" s="5">
        <v>765.4894651747677</v>
      </c>
      <c r="EC50" s="5">
        <v>867.94782112037274</v>
      </c>
      <c r="EE50">
        <f t="shared" si="38"/>
        <v>11</v>
      </c>
      <c r="EF50" s="5">
        <v>41.445999999999998</v>
      </c>
      <c r="EG50" s="5">
        <v>39.594000000000001</v>
      </c>
      <c r="EH50" s="5">
        <v>39.171666666666667</v>
      </c>
      <c r="EI50" s="5">
        <v>40.947000000000003</v>
      </c>
      <c r="EJ50" s="5">
        <v>73.941666666666677</v>
      </c>
      <c r="EK50" s="5">
        <v>73.510999999999996</v>
      </c>
      <c r="EL50" s="5">
        <v>72.728999999999999</v>
      </c>
      <c r="EM50" s="5">
        <v>73.051333333333332</v>
      </c>
      <c r="EO50">
        <f t="shared" si="39"/>
        <v>11</v>
      </c>
      <c r="EP50" s="5">
        <v>32.390999999999998</v>
      </c>
      <c r="EQ50" s="5">
        <v>30.943999999999999</v>
      </c>
      <c r="ER50" s="5">
        <v>30.617000000000001</v>
      </c>
      <c r="ES50" s="5">
        <v>31.995000000000001</v>
      </c>
      <c r="ET50" s="5">
        <v>32.527999999999999</v>
      </c>
      <c r="EU50" s="5">
        <v>29.962</v>
      </c>
      <c r="EV50" s="5">
        <v>29.645</v>
      </c>
      <c r="EW50" s="5">
        <v>32.132000000000005</v>
      </c>
    </row>
    <row r="51" spans="1:153">
      <c r="A51" s="167" t="s">
        <v>589</v>
      </c>
      <c r="B51" s="167" t="s">
        <v>594</v>
      </c>
      <c r="C51" t="s">
        <v>427</v>
      </c>
      <c r="D51" s="110">
        <f t="shared" si="52"/>
        <v>0.33200000000000002</v>
      </c>
      <c r="F51" t="s">
        <v>322</v>
      </c>
      <c r="I51">
        <f t="shared" si="40"/>
        <v>11.5</v>
      </c>
      <c r="J51" s="5">
        <f t="shared" ca="1" si="12"/>
        <v>173.07</v>
      </c>
      <c r="K51" s="5">
        <f t="shared" ca="1" si="13"/>
        <v>60.15</v>
      </c>
      <c r="L51" s="5">
        <f t="shared" ca="1" si="14"/>
        <v>175.9</v>
      </c>
      <c r="M51" s="5">
        <f t="shared" ca="1" si="15"/>
        <v>26.9</v>
      </c>
      <c r="N51" s="5">
        <f t="shared" ca="1" si="16"/>
        <v>171.02</v>
      </c>
      <c r="O51" s="5">
        <f t="shared" ca="1" si="17"/>
        <v>27.14</v>
      </c>
      <c r="P51" s="5">
        <f t="shared" ca="1" si="18"/>
        <v>181.48</v>
      </c>
      <c r="Q51" s="5">
        <f t="shared" ca="1" si="19"/>
        <v>59.34</v>
      </c>
      <c r="S51">
        <f t="shared" ca="1" si="20"/>
        <v>0.49773103991261225</v>
      </c>
      <c r="T51">
        <f t="shared" ca="1" si="21"/>
        <v>0.86733143140757307</v>
      </c>
      <c r="U51">
        <f t="shared" ca="1" si="22"/>
        <v>3.0206413364265856</v>
      </c>
      <c r="V51">
        <f t="shared" ca="1" si="23"/>
        <v>0.89179752960521408</v>
      </c>
      <c r="W51">
        <f t="shared" ca="1" si="24"/>
        <v>0.4524347093117827</v>
      </c>
      <c r="X51">
        <f t="shared" ca="1" si="25"/>
        <v>3.0700341542580261</v>
      </c>
      <c r="Y51">
        <f t="shared" ca="1" si="26"/>
        <v>0.88989455735663059</v>
      </c>
      <c r="Z51">
        <f t="shared" ca="1" si="27"/>
        <v>0.45616628194885966</v>
      </c>
      <c r="AA51">
        <f t="shared" ca="1" si="28"/>
        <v>2.9848620867607027</v>
      </c>
      <c r="AB51">
        <f t="shared" ca="1" si="29"/>
        <v>0.50994250341535519</v>
      </c>
      <c r="AC51">
        <f t="shared" ca="1" si="30"/>
        <v>0.86020848822275664</v>
      </c>
      <c r="AD51">
        <f t="shared" ca="1" si="31"/>
        <v>3.1674235265193089</v>
      </c>
      <c r="AI51" t="s">
        <v>28</v>
      </c>
      <c r="AJ51">
        <v>25</v>
      </c>
      <c r="AK51">
        <v>26</v>
      </c>
      <c r="AO51">
        <f t="shared" si="41"/>
        <v>11.5</v>
      </c>
      <c r="AP51" s="5">
        <v>157.72</v>
      </c>
      <c r="AQ51" s="5">
        <v>44.9</v>
      </c>
      <c r="AR51" s="5">
        <v>157.54</v>
      </c>
      <c r="AS51" s="5">
        <v>49.7</v>
      </c>
      <c r="AT51" s="5">
        <v>159.88</v>
      </c>
      <c r="AU51" s="5">
        <v>53.87</v>
      </c>
      <c r="AV51" s="5">
        <v>158.65</v>
      </c>
      <c r="AW51" s="5">
        <v>58.95</v>
      </c>
      <c r="AX51" s="5">
        <v>163.63</v>
      </c>
      <c r="AY51" s="5">
        <v>60.65</v>
      </c>
      <c r="AZ51" s="5">
        <v>173.07</v>
      </c>
      <c r="BA51" s="5">
        <v>60.15</v>
      </c>
      <c r="BB51">
        <f t="shared" ref="BB51" si="54">BB50+1</f>
        <v>11.5</v>
      </c>
      <c r="BC51" s="5">
        <v>154.93</v>
      </c>
      <c r="BD51" s="5">
        <v>45.88</v>
      </c>
      <c r="BE51" s="5">
        <v>165.55</v>
      </c>
      <c r="BF51" s="5">
        <v>47.47</v>
      </c>
      <c r="BG51" s="5">
        <v>160.01</v>
      </c>
      <c r="BH51" s="5">
        <v>54.75</v>
      </c>
      <c r="BI51" s="5">
        <v>160.19999999999999</v>
      </c>
      <c r="BJ51" s="5">
        <v>59.28</v>
      </c>
      <c r="BK51" s="5">
        <v>164.56</v>
      </c>
      <c r="BL51" s="5">
        <v>62.53</v>
      </c>
      <c r="BM51" s="5">
        <v>159.22999999999999</v>
      </c>
      <c r="BN51" s="5">
        <v>66.78</v>
      </c>
      <c r="BO51">
        <f t="shared" si="43"/>
        <v>11.5</v>
      </c>
      <c r="BP51" s="5">
        <v>158.99</v>
      </c>
      <c r="BQ51" s="5">
        <v>51.06</v>
      </c>
      <c r="BR51" s="5">
        <v>165.66</v>
      </c>
      <c r="BS51" s="5">
        <v>53.1</v>
      </c>
      <c r="BT51" s="5">
        <v>163.30000000000001</v>
      </c>
      <c r="BU51" s="5">
        <v>56.96</v>
      </c>
      <c r="BV51" s="5">
        <v>163.76</v>
      </c>
      <c r="BW51" s="5">
        <v>60.35</v>
      </c>
      <c r="BX51" s="5">
        <v>161.75</v>
      </c>
      <c r="BY51" s="5">
        <v>65.59</v>
      </c>
      <c r="BZ51">
        <f t="shared" si="44"/>
        <v>11.5</v>
      </c>
      <c r="CA51" s="5">
        <v>169.74</v>
      </c>
      <c r="CB51" s="5">
        <v>49.57</v>
      </c>
      <c r="CC51" s="5">
        <v>167.18</v>
      </c>
      <c r="CD51" s="5">
        <v>53.93</v>
      </c>
      <c r="CE51" s="5">
        <v>173.2</v>
      </c>
      <c r="CF51" s="5">
        <v>55.76</v>
      </c>
      <c r="CG51" s="5">
        <v>164.22</v>
      </c>
      <c r="CH51" s="5">
        <v>61.07</v>
      </c>
      <c r="CI51" s="5">
        <v>165.88</v>
      </c>
      <c r="CJ51" s="5">
        <v>64.959999999999994</v>
      </c>
      <c r="CM51" s="18" t="s">
        <v>82</v>
      </c>
      <c r="CN51" s="20">
        <v>34.048110000000001</v>
      </c>
      <c r="CO51" s="20">
        <v>-118.40611</v>
      </c>
      <c r="CP51" s="19">
        <v>0.20999999999999996</v>
      </c>
      <c r="CQ51" s="19">
        <v>0.26100000000000001</v>
      </c>
      <c r="CR51" s="19">
        <v>0.17200000000000001</v>
      </c>
      <c r="CS51" s="19">
        <v>0.193</v>
      </c>
      <c r="CT51" s="98">
        <v>292.59444444444449</v>
      </c>
      <c r="CU51" s="98">
        <v>294.26111111111112</v>
      </c>
      <c r="CV51" s="98">
        <v>299.26111111111112</v>
      </c>
      <c r="CW51" s="98">
        <v>294.81666666666672</v>
      </c>
      <c r="CX51" s="104">
        <v>5</v>
      </c>
      <c r="CY51" s="104">
        <v>6</v>
      </c>
      <c r="CZ51" s="104">
        <v>7</v>
      </c>
      <c r="DA51" s="104">
        <v>8</v>
      </c>
      <c r="DB51" s="104">
        <v>2</v>
      </c>
      <c r="DD51" s="13" t="s">
        <v>415</v>
      </c>
      <c r="DE51" s="19">
        <v>0.36899999999999999</v>
      </c>
      <c r="DG51">
        <f t="shared" si="32"/>
        <v>12</v>
      </c>
      <c r="DH51" s="5">
        <f t="shared" ca="1" si="33"/>
        <v>877.52</v>
      </c>
      <c r="DI51" s="5">
        <f t="shared" ca="1" si="34"/>
        <v>772.71</v>
      </c>
      <c r="DJ51" s="5">
        <f t="shared" ca="1" si="35"/>
        <v>764.46056818765078</v>
      </c>
      <c r="DK51" s="5">
        <f t="shared" ca="1" si="36"/>
        <v>866.93025096983615</v>
      </c>
      <c r="DL51" s="5">
        <f t="shared" ca="1" si="4"/>
        <v>73.15333333333335</v>
      </c>
      <c r="DM51" s="5">
        <f t="shared" ca="1" si="5"/>
        <v>72.728666666666669</v>
      </c>
      <c r="DN51" s="5">
        <f t="shared" ca="1" si="6"/>
        <v>71.954666666666668</v>
      </c>
      <c r="DO51" s="5">
        <f t="shared" ca="1" si="7"/>
        <v>72.272666666666666</v>
      </c>
      <c r="DP51" s="5">
        <f t="shared" ca="1" si="8"/>
        <v>32.235999999999997</v>
      </c>
      <c r="DQ51" s="5">
        <f t="shared" ca="1" si="9"/>
        <v>29.693999999999999</v>
      </c>
      <c r="DR51" s="5">
        <f t="shared" ca="1" si="10"/>
        <v>29.38</v>
      </c>
      <c r="DS51" s="5">
        <f t="shared" ca="1" si="11"/>
        <v>31.844000000000005</v>
      </c>
      <c r="DU51">
        <f t="shared" si="37"/>
        <v>12</v>
      </c>
      <c r="DV51" s="5">
        <v>981.78</v>
      </c>
      <c r="DW51" s="5">
        <v>937.96137381681092</v>
      </c>
      <c r="DX51" s="5">
        <v>927.95194195026045</v>
      </c>
      <c r="DY51" s="5">
        <v>969.92986744228472</v>
      </c>
      <c r="DZ51" s="5">
        <v>877.52</v>
      </c>
      <c r="EA51" s="5">
        <v>772.71</v>
      </c>
      <c r="EB51" s="5">
        <v>764.46056818765078</v>
      </c>
      <c r="EC51" s="5">
        <v>866.93025096983615</v>
      </c>
      <c r="EE51">
        <f t="shared" si="38"/>
        <v>12</v>
      </c>
      <c r="EF51" s="5">
        <v>41.042000000000002</v>
      </c>
      <c r="EG51" s="5">
        <v>39.207999999999998</v>
      </c>
      <c r="EH51" s="5">
        <v>38.79</v>
      </c>
      <c r="EI51" s="5">
        <v>40.547333333333334</v>
      </c>
      <c r="EJ51" s="5">
        <v>73.15333333333335</v>
      </c>
      <c r="EK51" s="5">
        <v>72.728666666666669</v>
      </c>
      <c r="EL51" s="5">
        <v>71.954666666666668</v>
      </c>
      <c r="EM51" s="5">
        <v>72.272666666666666</v>
      </c>
      <c r="EO51">
        <f t="shared" si="39"/>
        <v>12</v>
      </c>
      <c r="EP51" s="5">
        <v>32.101999999999997</v>
      </c>
      <c r="EQ51" s="5">
        <v>30.667999999999999</v>
      </c>
      <c r="ER51" s="5">
        <v>30.344000000000001</v>
      </c>
      <c r="ES51" s="5">
        <v>31.71</v>
      </c>
      <c r="ET51" s="5">
        <v>32.235999999999997</v>
      </c>
      <c r="EU51" s="5">
        <v>29.693999999999999</v>
      </c>
      <c r="EV51" s="5">
        <v>29.38</v>
      </c>
      <c r="EW51" s="5">
        <v>31.844000000000005</v>
      </c>
    </row>
    <row r="52" spans="1:153">
      <c r="A52" s="167" t="s">
        <v>589</v>
      </c>
      <c r="B52" s="167" t="s">
        <v>594</v>
      </c>
      <c r="C52" t="s">
        <v>428</v>
      </c>
      <c r="D52" s="110">
        <f t="shared" si="52"/>
        <v>0.33200000000000002</v>
      </c>
      <c r="F52" t="s">
        <v>322</v>
      </c>
      <c r="I52">
        <f t="shared" si="40"/>
        <v>12.5</v>
      </c>
      <c r="J52" s="5">
        <f t="shared" ca="1" si="12"/>
        <v>189.66</v>
      </c>
      <c r="K52" s="5">
        <f t="shared" ca="1" si="13"/>
        <v>60.44</v>
      </c>
      <c r="L52" s="5">
        <f t="shared" ca="1" si="14"/>
        <v>206.46</v>
      </c>
      <c r="M52" s="5">
        <f t="shared" ca="1" si="15"/>
        <v>29.05</v>
      </c>
      <c r="N52" s="5">
        <f t="shared" ca="1" si="16"/>
        <v>201.97</v>
      </c>
      <c r="O52" s="5">
        <f t="shared" ca="1" si="17"/>
        <v>28.43</v>
      </c>
      <c r="P52" s="5">
        <f t="shared" ca="1" si="18"/>
        <v>197.98</v>
      </c>
      <c r="Q52" s="5">
        <f t="shared" ca="1" si="19"/>
        <v>62.54</v>
      </c>
      <c r="S52">
        <f t="shared" ca="1" si="20"/>
        <v>0.49333472428893715</v>
      </c>
      <c r="T52">
        <f t="shared" ca="1" si="21"/>
        <v>0.8698395540619881</v>
      </c>
      <c r="U52">
        <f t="shared" ca="1" si="22"/>
        <v>3.3101914593324455</v>
      </c>
      <c r="V52">
        <f t="shared" ca="1" si="23"/>
        <v>0.87419629795668519</v>
      </c>
      <c r="W52">
        <f t="shared" ca="1" si="24"/>
        <v>0.48557268522727515</v>
      </c>
      <c r="X52">
        <f t="shared" ca="1" si="25"/>
        <v>3.6034067736674933</v>
      </c>
      <c r="Y52">
        <f t="shared" ca="1" si="26"/>
        <v>0.87939941604415894</v>
      </c>
      <c r="Z52">
        <f t="shared" ca="1" si="27"/>
        <v>0.47608472676740249</v>
      </c>
      <c r="AA52">
        <f t="shared" ca="1" si="28"/>
        <v>3.5250414902529474</v>
      </c>
      <c r="AB52">
        <f t="shared" ca="1" si="29"/>
        <v>0.46112925037841135</v>
      </c>
      <c r="AC52">
        <f t="shared" ca="1" si="30"/>
        <v>0.8873329783375824</v>
      </c>
      <c r="AD52">
        <f t="shared" ca="1" si="31"/>
        <v>3.4554028530983731</v>
      </c>
      <c r="AI52" t="s">
        <v>41</v>
      </c>
      <c r="AJ52">
        <v>28</v>
      </c>
      <c r="AK52">
        <v>29</v>
      </c>
      <c r="AO52">
        <f t="shared" si="41"/>
        <v>12.5</v>
      </c>
      <c r="AP52" s="5">
        <v>178.31</v>
      </c>
      <c r="AQ52" s="5">
        <v>42.02</v>
      </c>
      <c r="AR52" s="5">
        <v>176.51</v>
      </c>
      <c r="AS52" s="5">
        <v>46.65</v>
      </c>
      <c r="AT52" s="5">
        <v>177.77</v>
      </c>
      <c r="AU52" s="5">
        <v>51.44</v>
      </c>
      <c r="AV52" s="5">
        <v>175.44</v>
      </c>
      <c r="AW52" s="5">
        <v>56.35</v>
      </c>
      <c r="AX52" s="5">
        <v>180.18</v>
      </c>
      <c r="AY52" s="5">
        <v>59.12</v>
      </c>
      <c r="AZ52" s="5">
        <v>189.66</v>
      </c>
      <c r="BA52" s="5">
        <v>60.44</v>
      </c>
      <c r="BB52">
        <f t="shared" ref="BB52" si="55">BB51+1</f>
        <v>12.5</v>
      </c>
      <c r="BC52" s="5">
        <v>175.04</v>
      </c>
      <c r="BD52" s="5">
        <v>42.35</v>
      </c>
      <c r="BE52" s="5">
        <v>185.26</v>
      </c>
      <c r="BF52" s="5">
        <v>46.46</v>
      </c>
      <c r="BG52" s="5">
        <v>177.69</v>
      </c>
      <c r="BH52" s="5">
        <v>52.38</v>
      </c>
      <c r="BI52" s="5">
        <v>176.95</v>
      </c>
      <c r="BJ52" s="5">
        <v>57.06</v>
      </c>
      <c r="BK52" s="5">
        <v>180.83</v>
      </c>
      <c r="BL52" s="5">
        <v>61.22</v>
      </c>
      <c r="BM52" s="5">
        <v>174.85</v>
      </c>
      <c r="BN52" s="5">
        <v>64.48</v>
      </c>
      <c r="BO52">
        <f t="shared" si="43"/>
        <v>12.5</v>
      </c>
      <c r="BP52" s="5">
        <v>177.58</v>
      </c>
      <c r="BQ52" s="5">
        <v>48.47</v>
      </c>
      <c r="BR52" s="5">
        <v>183.77</v>
      </c>
      <c r="BS52" s="5">
        <v>51.9</v>
      </c>
      <c r="BT52" s="5">
        <v>180.55</v>
      </c>
      <c r="BU52" s="5">
        <v>55.3</v>
      </c>
      <c r="BV52" s="5">
        <v>180.34</v>
      </c>
      <c r="BW52" s="5">
        <v>59.07</v>
      </c>
      <c r="BX52" s="5">
        <v>177.56</v>
      </c>
      <c r="BY52" s="5">
        <v>63.77</v>
      </c>
      <c r="BZ52">
        <f t="shared" si="44"/>
        <v>12.5</v>
      </c>
      <c r="CA52" s="5">
        <v>188.73</v>
      </c>
      <c r="CB52" s="5">
        <v>49.34</v>
      </c>
      <c r="CC52" s="5">
        <v>185.09</v>
      </c>
      <c r="CD52" s="5">
        <v>53.11</v>
      </c>
      <c r="CE52" s="5">
        <v>190.61</v>
      </c>
      <c r="CF52" s="5">
        <v>56.06</v>
      </c>
      <c r="CG52" s="5">
        <v>180.76</v>
      </c>
      <c r="CH52" s="5">
        <v>59.38</v>
      </c>
      <c r="CI52" s="5">
        <v>181.82</v>
      </c>
      <c r="CJ52" s="5">
        <v>63.82</v>
      </c>
      <c r="CM52" s="18" t="s">
        <v>83</v>
      </c>
      <c r="CN52" s="20">
        <v>40.18318</v>
      </c>
      <c r="CO52" s="20">
        <v>-122.23056</v>
      </c>
      <c r="CP52" s="19">
        <v>0.25699999999999995</v>
      </c>
      <c r="CQ52" s="19">
        <v>0.17799999999999999</v>
      </c>
      <c r="CR52" s="19">
        <v>0.1</v>
      </c>
      <c r="CS52" s="19">
        <v>0.22999999999999998</v>
      </c>
      <c r="CT52" s="98">
        <v>288.70555555555558</v>
      </c>
      <c r="CU52" s="98">
        <v>300.37222222222226</v>
      </c>
      <c r="CV52" s="98">
        <v>308.70555555555558</v>
      </c>
      <c r="CW52" s="98">
        <v>290.37222222222226</v>
      </c>
      <c r="CX52" s="104">
        <v>1</v>
      </c>
      <c r="CY52" s="104">
        <v>2</v>
      </c>
      <c r="CZ52" s="104">
        <v>3</v>
      </c>
      <c r="DA52" s="104">
        <v>4</v>
      </c>
      <c r="DB52" s="104">
        <v>1</v>
      </c>
      <c r="DD52" s="13" t="s">
        <v>416</v>
      </c>
      <c r="DE52" s="19">
        <v>0.36499999999999999</v>
      </c>
      <c r="DG52">
        <f t="shared" si="32"/>
        <v>13</v>
      </c>
      <c r="DH52" s="5">
        <f t="shared" ca="1" si="33"/>
        <v>876.29</v>
      </c>
      <c r="DI52" s="5">
        <f t="shared" ca="1" si="34"/>
        <v>771.5</v>
      </c>
      <c r="DJ52" s="5">
        <f t="shared" ca="1" si="35"/>
        <v>763.26348611610115</v>
      </c>
      <c r="DK52" s="5">
        <f t="shared" ca="1" si="36"/>
        <v>865.71509438230203</v>
      </c>
      <c r="DL52" s="5">
        <f t="shared" ca="1" si="4"/>
        <v>72.365000000000023</v>
      </c>
      <c r="DM52" s="5">
        <f t="shared" ca="1" si="5"/>
        <v>71.946333333333342</v>
      </c>
      <c r="DN52" s="5">
        <f t="shared" ca="1" si="6"/>
        <v>71.180333333333337</v>
      </c>
      <c r="DO52" s="5">
        <f t="shared" ca="1" si="7"/>
        <v>71.494</v>
      </c>
      <c r="DP52" s="5">
        <f t="shared" ca="1" si="8"/>
        <v>31.943999999999996</v>
      </c>
      <c r="DQ52" s="5">
        <f t="shared" ca="1" si="9"/>
        <v>29.425999999999998</v>
      </c>
      <c r="DR52" s="5">
        <f t="shared" ca="1" si="10"/>
        <v>29.114999999999998</v>
      </c>
      <c r="DS52" s="5">
        <f t="shared" ca="1" si="11"/>
        <v>31.556000000000004</v>
      </c>
      <c r="DU52">
        <f t="shared" si="37"/>
        <v>13</v>
      </c>
      <c r="DV52" s="5">
        <v>980.89</v>
      </c>
      <c r="DW52" s="5">
        <v>937.11109613474684</v>
      </c>
      <c r="DX52" s="5">
        <v>927.11073798569032</v>
      </c>
      <c r="DY52" s="5">
        <v>969.05060978575921</v>
      </c>
      <c r="DZ52" s="5">
        <v>876.29</v>
      </c>
      <c r="EA52" s="5">
        <v>771.5</v>
      </c>
      <c r="EB52" s="5">
        <v>763.26348611610115</v>
      </c>
      <c r="EC52" s="5">
        <v>865.71509438230203</v>
      </c>
      <c r="EE52">
        <f t="shared" si="38"/>
        <v>13</v>
      </c>
      <c r="EF52" s="5">
        <v>40.638000000000005</v>
      </c>
      <c r="EG52" s="5">
        <v>38.821999999999996</v>
      </c>
      <c r="EH52" s="5">
        <v>38.408333333333331</v>
      </c>
      <c r="EI52" s="5">
        <v>40.147666666666666</v>
      </c>
      <c r="EJ52" s="5">
        <v>72.365000000000023</v>
      </c>
      <c r="EK52" s="5">
        <v>71.946333333333342</v>
      </c>
      <c r="EL52" s="5">
        <v>71.180333333333337</v>
      </c>
      <c r="EM52" s="5">
        <v>71.494</v>
      </c>
      <c r="EO52">
        <f t="shared" si="39"/>
        <v>13</v>
      </c>
      <c r="EP52" s="5">
        <v>31.812999999999995</v>
      </c>
      <c r="EQ52" s="5">
        <v>30.391999999999999</v>
      </c>
      <c r="ER52" s="5">
        <v>30.071000000000002</v>
      </c>
      <c r="ES52" s="5">
        <v>31.425000000000001</v>
      </c>
      <c r="ET52" s="5">
        <v>31.943999999999996</v>
      </c>
      <c r="EU52" s="5">
        <v>29.425999999999998</v>
      </c>
      <c r="EV52" s="5">
        <v>29.114999999999998</v>
      </c>
      <c r="EW52" s="5">
        <v>31.556000000000004</v>
      </c>
    </row>
    <row r="53" spans="1:153">
      <c r="A53" s="167" t="s">
        <v>590</v>
      </c>
      <c r="B53" s="167" t="s">
        <v>595</v>
      </c>
      <c r="C53" t="s">
        <v>470</v>
      </c>
      <c r="D53" s="110">
        <f>$D$12*(PI()/180)</f>
        <v>1.3962634015954636</v>
      </c>
      <c r="E53" t="s">
        <v>327</v>
      </c>
      <c r="I53">
        <f t="shared" si="40"/>
        <v>13.5</v>
      </c>
      <c r="J53" s="5">
        <f t="shared" ca="1" si="12"/>
        <v>205.54</v>
      </c>
      <c r="K53" s="5">
        <f t="shared" ca="1" si="13"/>
        <v>63.71</v>
      </c>
      <c r="L53" s="5">
        <f t="shared" ca="1" si="14"/>
        <v>230.3</v>
      </c>
      <c r="M53" s="5">
        <f t="shared" ca="1" si="15"/>
        <v>35.81</v>
      </c>
      <c r="N53" s="5">
        <f t="shared" ca="1" si="16"/>
        <v>226.97</v>
      </c>
      <c r="O53" s="5">
        <f t="shared" ca="1" si="17"/>
        <v>34.65</v>
      </c>
      <c r="P53" s="5">
        <f t="shared" ca="1" si="18"/>
        <v>213.25</v>
      </c>
      <c r="Q53" s="5">
        <f t="shared" ca="1" si="19"/>
        <v>65.989999999999995</v>
      </c>
      <c r="S53">
        <f t="shared" ca="1" si="20"/>
        <v>0.44291471767751767</v>
      </c>
      <c r="T53">
        <f t="shared" ca="1" si="21"/>
        <v>0.89656374723978483</v>
      </c>
      <c r="U53">
        <f t="shared" ca="1" si="22"/>
        <v>3.5873497445491447</v>
      </c>
      <c r="V53">
        <f t="shared" ca="1" si="23"/>
        <v>0.81096171226250324</v>
      </c>
      <c r="W53">
        <f t="shared" ca="1" si="24"/>
        <v>0.58509922341793363</v>
      </c>
      <c r="X53">
        <f t="shared" ca="1" si="25"/>
        <v>4.0194932673429413</v>
      </c>
      <c r="Y53">
        <f t="shared" ca="1" si="26"/>
        <v>0.8226405180208598</v>
      </c>
      <c r="Z53">
        <f t="shared" ca="1" si="27"/>
        <v>0.56856185073426391</v>
      </c>
      <c r="AA53">
        <f t="shared" ca="1" si="28"/>
        <v>3.9613738032515293</v>
      </c>
      <c r="AB53">
        <f t="shared" ca="1" si="29"/>
        <v>0.40689608064106259</v>
      </c>
      <c r="AC53">
        <f t="shared" ca="1" si="30"/>
        <v>0.91347445479276645</v>
      </c>
      <c r="AD53">
        <f t="shared" ca="1" si="31"/>
        <v>3.7219146298779076</v>
      </c>
      <c r="AI53" t="s">
        <v>298</v>
      </c>
      <c r="AJ53">
        <v>30</v>
      </c>
      <c r="AK53">
        <v>31</v>
      </c>
      <c r="AO53">
        <f t="shared" si="41"/>
        <v>13.5</v>
      </c>
      <c r="AP53" s="5">
        <v>199.25</v>
      </c>
      <c r="AQ53" s="5">
        <v>44.16</v>
      </c>
      <c r="AR53" s="5">
        <v>196.04</v>
      </c>
      <c r="AS53" s="5">
        <v>48.08</v>
      </c>
      <c r="AT53" s="5">
        <v>195.93</v>
      </c>
      <c r="AU53" s="5">
        <v>52.95</v>
      </c>
      <c r="AV53" s="5">
        <v>192.65</v>
      </c>
      <c r="AW53" s="5">
        <v>56.9</v>
      </c>
      <c r="AX53" s="5">
        <v>196.73</v>
      </c>
      <c r="AY53" s="5">
        <v>60.72</v>
      </c>
      <c r="AZ53" s="5">
        <v>205.54</v>
      </c>
      <c r="BA53" s="5">
        <v>63.71</v>
      </c>
      <c r="BB53">
        <f t="shared" ref="BB53" si="56">BB52+1</f>
        <v>13.5</v>
      </c>
      <c r="BC53" s="5">
        <v>196.13</v>
      </c>
      <c r="BD53" s="5">
        <v>43.68</v>
      </c>
      <c r="BE53" s="5">
        <v>204.14</v>
      </c>
      <c r="BF53" s="5">
        <v>49.74</v>
      </c>
      <c r="BG53" s="5">
        <v>195.64</v>
      </c>
      <c r="BH53" s="5">
        <v>53.87</v>
      </c>
      <c r="BI53" s="5">
        <v>193.97</v>
      </c>
      <c r="BJ53" s="5">
        <v>58.17</v>
      </c>
      <c r="BK53" s="5">
        <v>197.04</v>
      </c>
      <c r="BL53" s="5">
        <v>62.82</v>
      </c>
      <c r="BM53" s="5">
        <v>190.78</v>
      </c>
      <c r="BN53" s="5">
        <v>60.18</v>
      </c>
      <c r="BO53">
        <f t="shared" si="43"/>
        <v>13.5</v>
      </c>
      <c r="BP53" s="5">
        <v>196.52</v>
      </c>
      <c r="BQ53" s="5">
        <v>50.01</v>
      </c>
      <c r="BR53" s="5">
        <v>201.46</v>
      </c>
      <c r="BS53" s="5">
        <v>54.64</v>
      </c>
      <c r="BT53" s="5">
        <v>197.76</v>
      </c>
      <c r="BU53" s="5">
        <v>57.13</v>
      </c>
      <c r="BV53" s="5">
        <v>196.9</v>
      </c>
      <c r="BW53" s="5">
        <v>60.66</v>
      </c>
      <c r="BX53" s="5">
        <v>193.53</v>
      </c>
      <c r="BY53" s="5">
        <v>64.709999999999994</v>
      </c>
      <c r="BZ53">
        <f t="shared" si="44"/>
        <v>13.5</v>
      </c>
      <c r="CA53" s="5">
        <v>206.55</v>
      </c>
      <c r="CB53" s="5">
        <v>53.21</v>
      </c>
      <c r="CC53" s="5">
        <v>202.45</v>
      </c>
      <c r="CD53" s="5">
        <v>56.02</v>
      </c>
      <c r="CE53" s="5">
        <v>207.03</v>
      </c>
      <c r="CF53" s="5">
        <v>59.83</v>
      </c>
      <c r="CG53" s="5">
        <v>197.24</v>
      </c>
      <c r="CH53" s="5">
        <v>61.11</v>
      </c>
      <c r="CI53" s="5">
        <v>197.65</v>
      </c>
      <c r="CJ53" s="5">
        <v>65.44</v>
      </c>
      <c r="CM53" s="18" t="s">
        <v>84</v>
      </c>
      <c r="CN53" s="20">
        <v>38.58708</v>
      </c>
      <c r="CO53" s="20">
        <v>-121.46249</v>
      </c>
      <c r="CP53" s="19">
        <v>0.29899999999999993</v>
      </c>
      <c r="CQ53" s="19">
        <v>0.1</v>
      </c>
      <c r="CR53" s="19">
        <v>0.10599999999999998</v>
      </c>
      <c r="CS53" s="19">
        <v>0.22200000000000003</v>
      </c>
      <c r="CT53" s="98">
        <v>288.70555555555558</v>
      </c>
      <c r="CU53" s="98">
        <v>299.81666666666672</v>
      </c>
      <c r="CV53" s="98">
        <v>305.92777777777781</v>
      </c>
      <c r="CW53" s="98">
        <v>290.92777777777781</v>
      </c>
      <c r="CX53" s="104">
        <v>5</v>
      </c>
      <c r="CY53" s="104">
        <v>6</v>
      </c>
      <c r="CZ53" s="104">
        <v>7</v>
      </c>
      <c r="DA53" s="104">
        <v>8</v>
      </c>
      <c r="DB53" s="104">
        <v>2</v>
      </c>
      <c r="DD53" s="13" t="s">
        <v>417</v>
      </c>
      <c r="DE53" s="19">
        <v>0.48199999999999998</v>
      </c>
      <c r="DG53">
        <f t="shared" si="32"/>
        <v>14</v>
      </c>
      <c r="DH53" s="5">
        <f t="shared" ca="1" si="33"/>
        <v>875.03</v>
      </c>
      <c r="DI53" s="5">
        <f t="shared" ca="1" si="34"/>
        <v>770.28</v>
      </c>
      <c r="DJ53" s="5">
        <f t="shared" ca="1" si="35"/>
        <v>762.05651080429084</v>
      </c>
      <c r="DK53" s="5">
        <f t="shared" ca="1" si="36"/>
        <v>864.47029982921845</v>
      </c>
      <c r="DL53" s="5">
        <f t="shared" ca="1" si="4"/>
        <v>71.576666666666696</v>
      </c>
      <c r="DM53" s="5">
        <f t="shared" ca="1" si="5"/>
        <v>71.164000000000016</v>
      </c>
      <c r="DN53" s="5">
        <f t="shared" ca="1" si="6"/>
        <v>70.406000000000006</v>
      </c>
      <c r="DO53" s="5">
        <f t="shared" ca="1" si="7"/>
        <v>70.715333333333334</v>
      </c>
      <c r="DP53" s="5">
        <f t="shared" ca="1" si="8"/>
        <v>31.651999999999994</v>
      </c>
      <c r="DQ53" s="5">
        <f t="shared" ca="1" si="9"/>
        <v>29.157999999999998</v>
      </c>
      <c r="DR53" s="5">
        <f t="shared" ca="1" si="10"/>
        <v>28.849999999999998</v>
      </c>
      <c r="DS53" s="5">
        <f t="shared" ca="1" si="11"/>
        <v>31.268000000000004</v>
      </c>
      <c r="DU53">
        <f t="shared" si="37"/>
        <v>14</v>
      </c>
      <c r="DV53" s="5">
        <v>979.94</v>
      </c>
      <c r="DW53" s="5">
        <v>936.20349636175695</v>
      </c>
      <c r="DX53" s="5">
        <v>926.21282364148612</v>
      </c>
      <c r="DY53" s="5">
        <v>968.11207633216452</v>
      </c>
      <c r="DZ53" s="5">
        <v>875.03</v>
      </c>
      <c r="EA53" s="5">
        <v>770.28</v>
      </c>
      <c r="EB53" s="5">
        <v>762.05651080429084</v>
      </c>
      <c r="EC53" s="5">
        <v>864.47029982921845</v>
      </c>
      <c r="EE53">
        <f t="shared" si="38"/>
        <v>14</v>
      </c>
      <c r="EF53" s="5">
        <v>40.234000000000009</v>
      </c>
      <c r="EG53" s="5">
        <v>38.435999999999993</v>
      </c>
      <c r="EH53" s="5">
        <v>38.026666666666664</v>
      </c>
      <c r="EI53" s="5">
        <v>39.747999999999998</v>
      </c>
      <c r="EJ53" s="5">
        <v>71.576666666666696</v>
      </c>
      <c r="EK53" s="5">
        <v>71.164000000000016</v>
      </c>
      <c r="EL53" s="5">
        <v>70.406000000000006</v>
      </c>
      <c r="EM53" s="5">
        <v>70.715333333333334</v>
      </c>
      <c r="EO53">
        <f t="shared" si="39"/>
        <v>14</v>
      </c>
      <c r="EP53" s="5">
        <v>31.523999999999994</v>
      </c>
      <c r="EQ53" s="5">
        <v>30.116</v>
      </c>
      <c r="ER53" s="5">
        <v>29.798000000000002</v>
      </c>
      <c r="ES53" s="5">
        <v>31.14</v>
      </c>
      <c r="ET53" s="5">
        <v>31.651999999999994</v>
      </c>
      <c r="EU53" s="5">
        <v>29.157999999999998</v>
      </c>
      <c r="EV53" s="5">
        <v>28.849999999999998</v>
      </c>
      <c r="EW53" s="5">
        <v>31.268000000000004</v>
      </c>
    </row>
    <row r="54" spans="1:153">
      <c r="A54" s="167" t="s">
        <v>590</v>
      </c>
      <c r="B54" s="167" t="s">
        <v>595</v>
      </c>
      <c r="C54" t="s">
        <v>523</v>
      </c>
      <c r="D54" s="110">
        <f>4*PI()*SIN(D53/2)*SIN(D53/2)</f>
        <v>5.1921216286442178</v>
      </c>
      <c r="E54" t="s">
        <v>468</v>
      </c>
      <c r="F54" t="s">
        <v>469</v>
      </c>
      <c r="I54">
        <f t="shared" si="40"/>
        <v>14.5</v>
      </c>
      <c r="J54" s="5">
        <f t="shared" ca="1" si="12"/>
        <v>219.88</v>
      </c>
      <c r="K54" s="5">
        <f t="shared" ca="1" si="13"/>
        <v>69.94</v>
      </c>
      <c r="L54" s="5">
        <f t="shared" ca="1" si="14"/>
        <v>247.3</v>
      </c>
      <c r="M54" s="5">
        <f t="shared" ca="1" si="15"/>
        <v>45.11</v>
      </c>
      <c r="N54" s="5">
        <f t="shared" ca="1" si="16"/>
        <v>244.83</v>
      </c>
      <c r="O54" s="5">
        <f t="shared" ca="1" si="17"/>
        <v>43.68</v>
      </c>
      <c r="P54" s="5">
        <f t="shared" ca="1" si="18"/>
        <v>226.76</v>
      </c>
      <c r="Q54" s="5">
        <f t="shared" ca="1" si="19"/>
        <v>72.89</v>
      </c>
      <c r="S54">
        <f t="shared" ca="1" si="20"/>
        <v>0.34300399942366788</v>
      </c>
      <c r="T54">
        <f t="shared" ca="1" si="21"/>
        <v>0.93933394295073169</v>
      </c>
      <c r="U54">
        <f t="shared" ca="1" si="22"/>
        <v>3.8376299592851315</v>
      </c>
      <c r="V54">
        <f t="shared" ca="1" si="23"/>
        <v>0.70574793130435653</v>
      </c>
      <c r="W54">
        <f t="shared" ca="1" si="24"/>
        <v>0.70846302476531642</v>
      </c>
      <c r="X54">
        <f t="shared" ca="1" si="25"/>
        <v>4.3161992401819775</v>
      </c>
      <c r="Y54">
        <f t="shared" ca="1" si="26"/>
        <v>0.72320826531534199</v>
      </c>
      <c r="Z54">
        <f t="shared" ca="1" si="27"/>
        <v>0.69063000584942291</v>
      </c>
      <c r="AA54">
        <f t="shared" ca="1" si="28"/>
        <v>4.2730896076577176</v>
      </c>
      <c r="AB54">
        <f t="shared" ca="1" si="29"/>
        <v>0.29420713810372462</v>
      </c>
      <c r="AC54">
        <f t="shared" ca="1" si="30"/>
        <v>0.95574168052294128</v>
      </c>
      <c r="AD54">
        <f t="shared" ca="1" si="31"/>
        <v>3.957708611822341</v>
      </c>
      <c r="AI54" t="s">
        <v>42</v>
      </c>
      <c r="AJ54">
        <v>32</v>
      </c>
      <c r="AK54">
        <v>33</v>
      </c>
      <c r="AO54">
        <f t="shared" si="41"/>
        <v>14.5</v>
      </c>
      <c r="AP54" s="5">
        <v>216.88</v>
      </c>
      <c r="AQ54" s="5">
        <v>50.52</v>
      </c>
      <c r="AR54" s="5">
        <v>213.3</v>
      </c>
      <c r="AS54" s="5">
        <v>53.48</v>
      </c>
      <c r="AT54" s="5">
        <v>212.35</v>
      </c>
      <c r="AU54" s="5">
        <v>57.97</v>
      </c>
      <c r="AV54" s="5">
        <v>208.75</v>
      </c>
      <c r="AW54" s="5">
        <v>61.22</v>
      </c>
      <c r="AX54" s="5">
        <v>212.09</v>
      </c>
      <c r="AY54" s="5">
        <v>65.260000000000005</v>
      </c>
      <c r="AZ54" s="5">
        <v>219.88</v>
      </c>
      <c r="BA54" s="5">
        <v>69.94</v>
      </c>
      <c r="BB54">
        <f t="shared" ref="BB54" si="57">BB53+1</f>
        <v>14.5</v>
      </c>
      <c r="BC54" s="5">
        <v>214.36</v>
      </c>
      <c r="BD54" s="5">
        <v>49.46</v>
      </c>
      <c r="BE54" s="5">
        <v>219.97</v>
      </c>
      <c r="BF54" s="5">
        <v>56.63</v>
      </c>
      <c r="BG54" s="5">
        <v>211.96</v>
      </c>
      <c r="BH54" s="5">
        <v>58.67</v>
      </c>
      <c r="BI54" s="5">
        <v>209.84</v>
      </c>
      <c r="BJ54" s="5">
        <v>62.37</v>
      </c>
      <c r="BK54" s="5">
        <v>212.17</v>
      </c>
      <c r="BL54" s="5">
        <v>67.260000000000005</v>
      </c>
      <c r="BM54" s="5">
        <v>206.11</v>
      </c>
      <c r="BN54" s="5">
        <v>68.069999999999993</v>
      </c>
      <c r="BO54">
        <f t="shared" si="43"/>
        <v>14.5</v>
      </c>
      <c r="BP54" s="5">
        <v>213.36</v>
      </c>
      <c r="BQ54" s="5">
        <v>55.35</v>
      </c>
      <c r="BR54" s="5">
        <v>217.01</v>
      </c>
      <c r="BS54" s="5">
        <v>60.61</v>
      </c>
      <c r="BT54" s="5">
        <v>213.42</v>
      </c>
      <c r="BU54" s="5">
        <v>62.16</v>
      </c>
      <c r="BV54" s="5">
        <v>212.25</v>
      </c>
      <c r="BW54" s="5">
        <v>65.260000000000005</v>
      </c>
      <c r="BX54" s="5">
        <v>208.73</v>
      </c>
      <c r="BY54" s="5">
        <v>68.37</v>
      </c>
      <c r="BZ54">
        <f t="shared" si="44"/>
        <v>14.5</v>
      </c>
      <c r="CA54" s="5">
        <v>221.58</v>
      </c>
      <c r="CB54" s="5">
        <v>60.28</v>
      </c>
      <c r="CC54" s="5">
        <v>217.74</v>
      </c>
      <c r="CD54" s="5">
        <v>61.99</v>
      </c>
      <c r="CE54" s="5">
        <v>221.44</v>
      </c>
      <c r="CF54" s="5">
        <v>66.37</v>
      </c>
      <c r="CG54" s="5">
        <v>212.52</v>
      </c>
      <c r="CH54" s="5">
        <v>65.7</v>
      </c>
      <c r="CI54" s="5">
        <v>212.53</v>
      </c>
      <c r="CJ54" s="5">
        <v>69.69</v>
      </c>
      <c r="CM54" s="17" t="s">
        <v>85</v>
      </c>
      <c r="CN54" s="20">
        <v>32.732379999999999</v>
      </c>
      <c r="CO54" s="20">
        <v>-117.14055999999999</v>
      </c>
      <c r="CP54" s="19">
        <v>0.21499999999999997</v>
      </c>
      <c r="CQ54" s="19">
        <v>0.29699999999999999</v>
      </c>
      <c r="CR54" s="19">
        <v>0.219</v>
      </c>
      <c r="CS54" s="19">
        <v>0.19700000000000001</v>
      </c>
      <c r="CT54" s="98">
        <v>297.59444444444449</v>
      </c>
      <c r="CU54" s="98">
        <v>297.59444444444449</v>
      </c>
      <c r="CV54" s="98">
        <v>293.70555555555558</v>
      </c>
      <c r="CW54" s="98">
        <v>291.48333333333335</v>
      </c>
      <c r="CX54" s="104">
        <v>5</v>
      </c>
      <c r="CY54" s="104">
        <v>6</v>
      </c>
      <c r="CZ54" s="104">
        <v>7</v>
      </c>
      <c r="DA54" s="104">
        <v>8</v>
      </c>
      <c r="DB54" s="104">
        <v>2</v>
      </c>
      <c r="DD54" s="13" t="s">
        <v>418</v>
      </c>
      <c r="DE54" s="19">
        <v>0.152</v>
      </c>
      <c r="DG54">
        <f t="shared" si="32"/>
        <v>15</v>
      </c>
      <c r="DH54" s="5">
        <f t="shared" ca="1" si="33"/>
        <v>873.64</v>
      </c>
      <c r="DI54" s="5">
        <f t="shared" ca="1" si="34"/>
        <v>768.85</v>
      </c>
      <c r="DJ54" s="5">
        <f t="shared" ca="1" si="35"/>
        <v>760.6417774470051</v>
      </c>
      <c r="DK54" s="5">
        <f t="shared" ca="1" si="36"/>
        <v>863.09707409208636</v>
      </c>
      <c r="DL54" s="5">
        <f t="shared" ca="1" si="4"/>
        <v>70.78833333333337</v>
      </c>
      <c r="DM54" s="5">
        <f t="shared" ca="1" si="5"/>
        <v>70.381666666666689</v>
      </c>
      <c r="DN54" s="5">
        <f t="shared" ca="1" si="6"/>
        <v>69.631666666666675</v>
      </c>
      <c r="DO54" s="5">
        <f t="shared" ca="1" si="7"/>
        <v>69.936666666666667</v>
      </c>
      <c r="DP54" s="5">
        <f t="shared" ca="1" si="8"/>
        <v>31.359999999999992</v>
      </c>
      <c r="DQ54" s="5">
        <f t="shared" ca="1" si="9"/>
        <v>28.889999999999997</v>
      </c>
      <c r="DR54" s="5">
        <f t="shared" ca="1" si="10"/>
        <v>28.584999999999997</v>
      </c>
      <c r="DS54" s="5">
        <f t="shared" ca="1" si="11"/>
        <v>30.980000000000004</v>
      </c>
      <c r="DU54">
        <f t="shared" si="37"/>
        <v>15</v>
      </c>
      <c r="DV54" s="5">
        <v>978.9</v>
      </c>
      <c r="DW54" s="5">
        <v>935.2099134523786</v>
      </c>
      <c r="DX54" s="5">
        <v>925.22984372783094</v>
      </c>
      <c r="DY54" s="5">
        <v>967.08462918296618</v>
      </c>
      <c r="DZ54" s="5">
        <v>873.64</v>
      </c>
      <c r="EA54" s="5">
        <v>768.85</v>
      </c>
      <c r="EB54" s="5">
        <v>760.6417774470051</v>
      </c>
      <c r="EC54" s="5">
        <v>863.09707409208636</v>
      </c>
      <c r="EE54">
        <f t="shared" si="38"/>
        <v>15</v>
      </c>
      <c r="EF54" s="5">
        <v>39.830000000000013</v>
      </c>
      <c r="EG54" s="5">
        <v>38.04999999999999</v>
      </c>
      <c r="EH54" s="5">
        <v>37.644999999999996</v>
      </c>
      <c r="EI54" s="5">
        <v>39.348333333333329</v>
      </c>
      <c r="EJ54" s="5">
        <v>70.78833333333337</v>
      </c>
      <c r="EK54" s="5">
        <v>70.381666666666689</v>
      </c>
      <c r="EL54" s="5">
        <v>69.631666666666675</v>
      </c>
      <c r="EM54" s="5">
        <v>69.936666666666667</v>
      </c>
      <c r="EO54">
        <f t="shared" si="39"/>
        <v>15</v>
      </c>
      <c r="EP54" s="5">
        <v>31.234999999999992</v>
      </c>
      <c r="EQ54" s="5">
        <v>29.84</v>
      </c>
      <c r="ER54" s="5">
        <v>29.525000000000002</v>
      </c>
      <c r="ES54" s="5">
        <v>30.855</v>
      </c>
      <c r="ET54" s="5">
        <v>31.359999999999992</v>
      </c>
      <c r="EU54" s="5">
        <v>28.889999999999997</v>
      </c>
      <c r="EV54" s="5">
        <v>28.584999999999997</v>
      </c>
      <c r="EW54" s="5">
        <v>30.980000000000004</v>
      </c>
    </row>
    <row r="55" spans="1:153">
      <c r="A55" s="167"/>
      <c r="B55" s="167"/>
      <c r="C55" s="11"/>
      <c r="D55" s="116"/>
      <c r="E55" s="11"/>
      <c r="F55" s="11"/>
      <c r="I55">
        <f t="shared" si="40"/>
        <v>15.5</v>
      </c>
      <c r="J55" s="5">
        <f t="shared" ca="1" si="12"/>
        <v>232.51</v>
      </c>
      <c r="K55" s="5">
        <f t="shared" ca="1" si="13"/>
        <v>77.39</v>
      </c>
      <c r="L55" s="5">
        <f t="shared" ca="1" si="14"/>
        <v>260.22000000000003</v>
      </c>
      <c r="M55" s="5">
        <f t="shared" ca="1" si="15"/>
        <v>55.53</v>
      </c>
      <c r="N55" s="5">
        <f t="shared" ca="1" si="16"/>
        <v>258.22000000000003</v>
      </c>
      <c r="O55" s="5">
        <f t="shared" ca="1" si="17"/>
        <v>53.98</v>
      </c>
      <c r="P55" s="5">
        <f t="shared" ca="1" si="18"/>
        <v>238.63</v>
      </c>
      <c r="Q55" s="5">
        <f t="shared" ca="1" si="19"/>
        <v>81.52</v>
      </c>
      <c r="S55">
        <f t="shared" ca="1" si="20"/>
        <v>0.21831356768037868</v>
      </c>
      <c r="T55">
        <f t="shared" ca="1" si="21"/>
        <v>0.97587867389684502</v>
      </c>
      <c r="U55">
        <f t="shared" ca="1" si="22"/>
        <v>4.0580650438120154</v>
      </c>
      <c r="V55">
        <f t="shared" ca="1" si="23"/>
        <v>0.56597464783950768</v>
      </c>
      <c r="W55">
        <f t="shared" ca="1" si="24"/>
        <v>0.82442264525117537</v>
      </c>
      <c r="X55">
        <f t="shared" ca="1" si="25"/>
        <v>4.5416957795396451</v>
      </c>
      <c r="Y55">
        <f t="shared" ca="1" si="26"/>
        <v>0.58806761668194185</v>
      </c>
      <c r="Z55">
        <f t="shared" ca="1" si="27"/>
        <v>0.80881176933203724</v>
      </c>
      <c r="AA55">
        <f t="shared" ca="1" si="28"/>
        <v>4.506789194499758</v>
      </c>
      <c r="AB55">
        <f t="shared" ca="1" si="29"/>
        <v>0.14746417046815488</v>
      </c>
      <c r="AC55">
        <f t="shared" ca="1" si="30"/>
        <v>0.98906739832437052</v>
      </c>
      <c r="AD55">
        <f t="shared" ca="1" si="31"/>
        <v>4.1648791940340688</v>
      </c>
      <c r="AI55" t="s">
        <v>43</v>
      </c>
      <c r="AJ55">
        <v>34</v>
      </c>
      <c r="AK55">
        <v>35</v>
      </c>
      <c r="AO55">
        <f t="shared" si="41"/>
        <v>15.5</v>
      </c>
      <c r="AP55" s="5">
        <v>230.28</v>
      </c>
      <c r="AQ55" s="5">
        <v>59.83</v>
      </c>
      <c r="AR55" s="5">
        <v>227.19</v>
      </c>
      <c r="AS55" s="5">
        <v>61.88</v>
      </c>
      <c r="AT55" s="5">
        <v>226.14</v>
      </c>
      <c r="AU55" s="5">
        <v>65.7</v>
      </c>
      <c r="AV55" s="5">
        <v>222.87</v>
      </c>
      <c r="AW55" s="5">
        <v>67.930000000000007</v>
      </c>
      <c r="AX55" s="5">
        <v>225.67</v>
      </c>
      <c r="AY55" s="5">
        <v>72.16</v>
      </c>
      <c r="AZ55" s="5">
        <v>232.51</v>
      </c>
      <c r="BA55" s="5">
        <v>77.39</v>
      </c>
      <c r="BB55">
        <f t="shared" ref="BB55" si="58">BB54+1</f>
        <v>15.5</v>
      </c>
      <c r="BC55" s="5">
        <v>228.38</v>
      </c>
      <c r="BD55" s="5">
        <v>58.39</v>
      </c>
      <c r="BE55" s="5">
        <v>232.45</v>
      </c>
      <c r="BF55" s="5">
        <v>66.05</v>
      </c>
      <c r="BG55" s="5">
        <v>225.77</v>
      </c>
      <c r="BH55" s="5">
        <v>66.319999999999993</v>
      </c>
      <c r="BI55" s="5">
        <v>223.78</v>
      </c>
      <c r="BJ55" s="5">
        <v>69.2</v>
      </c>
      <c r="BK55" s="5">
        <v>225.72</v>
      </c>
      <c r="BL55" s="5">
        <v>73.900000000000006</v>
      </c>
      <c r="BM55" s="5">
        <v>220.22</v>
      </c>
      <c r="BN55" s="5">
        <v>73.540000000000006</v>
      </c>
      <c r="BO55">
        <f t="shared" si="43"/>
        <v>15.5</v>
      </c>
      <c r="BP55" s="5">
        <v>227.13</v>
      </c>
      <c r="BQ55" s="5">
        <v>63.6</v>
      </c>
      <c r="BR55" s="5">
        <v>229.98</v>
      </c>
      <c r="BS55" s="5">
        <v>68.98</v>
      </c>
      <c r="BT55" s="5">
        <v>226.9</v>
      </c>
      <c r="BU55" s="5">
        <v>69.94</v>
      </c>
      <c r="BV55" s="5">
        <v>225.82</v>
      </c>
      <c r="BW55" s="5">
        <v>72.16</v>
      </c>
      <c r="BX55" s="5">
        <v>222.61</v>
      </c>
      <c r="BY55" s="5">
        <v>74.22</v>
      </c>
      <c r="BZ55">
        <f t="shared" si="44"/>
        <v>15.5</v>
      </c>
      <c r="CA55" s="5">
        <v>233.72</v>
      </c>
      <c r="CB55" s="5">
        <v>69.569999999999993</v>
      </c>
      <c r="CC55" s="5">
        <v>230.57</v>
      </c>
      <c r="CD55" s="5">
        <v>70.400000000000006</v>
      </c>
      <c r="CE55" s="5">
        <v>233.73</v>
      </c>
      <c r="CF55" s="5">
        <v>74.97</v>
      </c>
      <c r="CG55" s="5">
        <v>226.05</v>
      </c>
      <c r="CH55" s="5">
        <v>72.61</v>
      </c>
      <c r="CI55" s="5">
        <v>226.04</v>
      </c>
      <c r="CJ55" s="5">
        <v>76.239999999999995</v>
      </c>
      <c r="CM55" s="18" t="s">
        <v>86</v>
      </c>
      <c r="CN55" s="20">
        <v>37.796480000000003</v>
      </c>
      <c r="CO55" s="20">
        <v>-122.47365000000001</v>
      </c>
      <c r="CP55" s="19">
        <v>0.30299999999999994</v>
      </c>
      <c r="CQ55" s="19">
        <v>0.21699999999999997</v>
      </c>
      <c r="CR55" s="19">
        <v>0.20299999999999999</v>
      </c>
      <c r="CS55" s="19">
        <v>0.28999999999999998</v>
      </c>
      <c r="CT55" s="98">
        <v>292.59444444444449</v>
      </c>
      <c r="CU55" s="98">
        <v>289.81666666666672</v>
      </c>
      <c r="CV55" s="98">
        <v>293.15000000000003</v>
      </c>
      <c r="CW55" s="98">
        <v>290.37222222222226</v>
      </c>
      <c r="CX55" s="104">
        <v>5</v>
      </c>
      <c r="CY55" s="104">
        <v>6</v>
      </c>
      <c r="CZ55" s="104">
        <v>7</v>
      </c>
      <c r="DA55" s="104">
        <v>8</v>
      </c>
      <c r="DB55" s="104">
        <v>2</v>
      </c>
      <c r="DD55" s="13" t="s">
        <v>419</v>
      </c>
      <c r="DE55" s="19">
        <v>0.123</v>
      </c>
      <c r="DG55">
        <f t="shared" si="32"/>
        <v>16</v>
      </c>
      <c r="DH55" s="5">
        <f t="shared" ca="1" si="33"/>
        <v>872.19</v>
      </c>
      <c r="DI55" s="5">
        <f t="shared" ca="1" si="34"/>
        <v>767.44</v>
      </c>
      <c r="DJ55" s="5">
        <f t="shared" ca="1" si="35"/>
        <v>759.24683057024072</v>
      </c>
      <c r="DK55" s="5">
        <f t="shared" ca="1" si="36"/>
        <v>861.66457242385525</v>
      </c>
      <c r="DL55" s="5">
        <f t="shared" ca="1" si="4"/>
        <v>70.000000000000043</v>
      </c>
      <c r="DM55" s="5">
        <f t="shared" ca="1" si="5"/>
        <v>69.599333333333362</v>
      </c>
      <c r="DN55" s="5">
        <f t="shared" ca="1" si="6"/>
        <v>68.857333333333344</v>
      </c>
      <c r="DO55" s="5">
        <f t="shared" ca="1" si="7"/>
        <v>69.158000000000001</v>
      </c>
      <c r="DP55" s="5">
        <f t="shared" ca="1" si="8"/>
        <v>31.067999999999991</v>
      </c>
      <c r="DQ55" s="5">
        <f t="shared" ca="1" si="9"/>
        <v>28.621999999999996</v>
      </c>
      <c r="DR55" s="5">
        <f t="shared" ca="1" si="10"/>
        <v>28.319999999999997</v>
      </c>
      <c r="DS55" s="5">
        <f t="shared" ca="1" si="11"/>
        <v>30.692000000000004</v>
      </c>
      <c r="DU55">
        <f t="shared" si="37"/>
        <v>16</v>
      </c>
      <c r="DV55" s="5">
        <v>977.83</v>
      </c>
      <c r="DW55" s="5">
        <v>934.1876694975374</v>
      </c>
      <c r="DX55" s="5">
        <v>924.21850862435906</v>
      </c>
      <c r="DY55" s="5">
        <v>966.02754413523326</v>
      </c>
      <c r="DZ55" s="5">
        <v>872.19</v>
      </c>
      <c r="EA55" s="5">
        <v>767.44</v>
      </c>
      <c r="EB55" s="5">
        <v>759.24683057024072</v>
      </c>
      <c r="EC55" s="5">
        <v>861.66457242385525</v>
      </c>
      <c r="EE55">
        <f t="shared" si="38"/>
        <v>16</v>
      </c>
      <c r="EF55" s="5">
        <v>39.426000000000016</v>
      </c>
      <c r="EG55" s="5">
        <v>37.663999999999987</v>
      </c>
      <c r="EH55" s="5">
        <v>37.263333333333328</v>
      </c>
      <c r="EI55" s="5">
        <v>38.948666666666661</v>
      </c>
      <c r="EJ55" s="5">
        <v>70.000000000000043</v>
      </c>
      <c r="EK55" s="5">
        <v>69.599333333333362</v>
      </c>
      <c r="EL55" s="5">
        <v>68.857333333333344</v>
      </c>
      <c r="EM55" s="5">
        <v>69.158000000000001</v>
      </c>
      <c r="EO55">
        <f t="shared" si="39"/>
        <v>16</v>
      </c>
      <c r="EP55" s="5">
        <v>30.945999999999991</v>
      </c>
      <c r="EQ55" s="5">
        <v>29.564</v>
      </c>
      <c r="ER55" s="5">
        <v>29.252000000000002</v>
      </c>
      <c r="ES55" s="5">
        <v>30.57</v>
      </c>
      <c r="ET55" s="5">
        <v>31.067999999999991</v>
      </c>
      <c r="EU55" s="5">
        <v>28.621999999999996</v>
      </c>
      <c r="EV55" s="5">
        <v>28.319999999999997</v>
      </c>
      <c r="EW55" s="5">
        <v>30.692000000000004</v>
      </c>
    </row>
    <row r="56" spans="1:153">
      <c r="A56" s="167" t="s">
        <v>590</v>
      </c>
      <c r="B56" s="167" t="s">
        <v>595</v>
      </c>
      <c r="C56" t="s">
        <v>524</v>
      </c>
      <c r="D56" s="110">
        <f>ABS(PI()*($D$8-(90-$D$12))/$D$12)</f>
        <v>1.3351768777756621</v>
      </c>
      <c r="E56" t="s">
        <v>327</v>
      </c>
      <c r="F56" t="s">
        <v>471</v>
      </c>
      <c r="I56">
        <f t="shared" si="40"/>
        <v>16.5</v>
      </c>
      <c r="J56" s="5">
        <f t="shared" ca="1" si="12"/>
        <v>243.71</v>
      </c>
      <c r="K56" s="5">
        <f t="shared" ca="1" si="13"/>
        <v>86.58</v>
      </c>
      <c r="L56" s="5">
        <f t="shared" ca="1" si="14"/>
        <v>271.08</v>
      </c>
      <c r="M56" s="5">
        <f t="shared" ca="1" si="15"/>
        <v>66.31</v>
      </c>
      <c r="N56" s="5">
        <f t="shared" ca="1" si="16"/>
        <v>269.3</v>
      </c>
      <c r="O56" s="5">
        <f t="shared" ca="1" si="17"/>
        <v>64.760000000000005</v>
      </c>
      <c r="P56" s="5">
        <f t="shared" ca="1" si="18"/>
        <v>249.31</v>
      </c>
      <c r="Q56" s="5">
        <f t="shared" ca="1" si="19"/>
        <v>91.29</v>
      </c>
      <c r="S56">
        <f t="shared" ca="1" si="20"/>
        <v>5.9654821390170823E-2</v>
      </c>
      <c r="T56">
        <f t="shared" ca="1" si="21"/>
        <v>0.9982190652782118</v>
      </c>
      <c r="U56">
        <f t="shared" ca="1" si="22"/>
        <v>4.2535419200353806</v>
      </c>
      <c r="V56">
        <f t="shared" ca="1" si="23"/>
        <v>0.40178795726384542</v>
      </c>
      <c r="W56">
        <f t="shared" ca="1" si="24"/>
        <v>0.91573273251410336</v>
      </c>
      <c r="X56">
        <f t="shared" ca="1" si="25"/>
        <v>4.7312385363062281</v>
      </c>
      <c r="Y56">
        <f t="shared" ca="1" si="26"/>
        <v>0.4264108762029985</v>
      </c>
      <c r="Z56">
        <f t="shared" ca="1" si="27"/>
        <v>0.90452958196832411</v>
      </c>
      <c r="AA56">
        <f t="shared" ca="1" si="28"/>
        <v>4.7001716756207292</v>
      </c>
      <c r="AB56">
        <f t="shared" ca="1" si="29"/>
        <v>-2.2512845226067862E-2</v>
      </c>
      <c r="AC56">
        <f t="shared" ca="1" si="30"/>
        <v>0.99974655378242094</v>
      </c>
      <c r="AD56">
        <f t="shared" ca="1" si="31"/>
        <v>4.3512803581470632</v>
      </c>
      <c r="AI56" t="s">
        <v>52</v>
      </c>
      <c r="AJ56">
        <v>36</v>
      </c>
      <c r="AK56">
        <v>37</v>
      </c>
      <c r="AO56">
        <f t="shared" si="41"/>
        <v>16.5</v>
      </c>
      <c r="AP56" s="5">
        <v>240.38</v>
      </c>
      <c r="AQ56" s="5">
        <v>70.930000000000007</v>
      </c>
      <c r="AR56" s="5">
        <v>238.16</v>
      </c>
      <c r="AS56" s="5">
        <v>72.16</v>
      </c>
      <c r="AT56" s="5">
        <v>237.52</v>
      </c>
      <c r="AU56" s="5">
        <v>75.08</v>
      </c>
      <c r="AV56" s="5">
        <v>234.97</v>
      </c>
      <c r="AW56" s="5">
        <v>76.599999999999994</v>
      </c>
      <c r="AX56" s="5">
        <v>237.57</v>
      </c>
      <c r="AY56" s="5">
        <v>80.77</v>
      </c>
      <c r="AZ56" s="5">
        <v>243.71</v>
      </c>
      <c r="BA56" s="5">
        <v>86.58</v>
      </c>
      <c r="BB56">
        <f t="shared" ref="BB56" si="59">BB55+1</f>
        <v>16.5</v>
      </c>
      <c r="BC56" s="5">
        <v>238.94</v>
      </c>
      <c r="BD56" s="5">
        <v>69.260000000000005</v>
      </c>
      <c r="BE56" s="5">
        <v>242.35</v>
      </c>
      <c r="BF56" s="5">
        <v>76.94</v>
      </c>
      <c r="BG56" s="5">
        <v>237.26</v>
      </c>
      <c r="BH56" s="5">
        <v>75.75</v>
      </c>
      <c r="BI56" s="5">
        <v>235.79</v>
      </c>
      <c r="BJ56" s="5">
        <v>77.849999999999994</v>
      </c>
      <c r="BK56" s="5">
        <v>237.75</v>
      </c>
      <c r="BL56" s="5">
        <v>82.22</v>
      </c>
      <c r="BM56" s="5">
        <v>232.98</v>
      </c>
      <c r="BN56" s="5">
        <v>80.790000000000006</v>
      </c>
      <c r="BO56">
        <f t="shared" si="43"/>
        <v>16.5</v>
      </c>
      <c r="BP56" s="5">
        <v>238.19</v>
      </c>
      <c r="BQ56" s="5">
        <v>73.680000000000007</v>
      </c>
      <c r="BR56" s="5">
        <v>240.76</v>
      </c>
      <c r="BS56" s="5">
        <v>78.989999999999995</v>
      </c>
      <c r="BT56" s="5">
        <v>238.38</v>
      </c>
      <c r="BU56" s="5">
        <v>78.930000000000007</v>
      </c>
      <c r="BV56" s="5">
        <v>237.69</v>
      </c>
      <c r="BW56" s="5">
        <v>80.83</v>
      </c>
      <c r="BX56" s="5">
        <v>235.12</v>
      </c>
      <c r="BY56" s="5">
        <v>81.87</v>
      </c>
      <c r="BZ56">
        <f t="shared" si="44"/>
        <v>16.5</v>
      </c>
      <c r="CA56" s="5">
        <v>243.42</v>
      </c>
      <c r="CB56" s="5">
        <v>80.59</v>
      </c>
      <c r="CC56" s="5">
        <v>241.15</v>
      </c>
      <c r="CD56" s="5">
        <v>80.53</v>
      </c>
      <c r="CE56" s="5">
        <v>244.12</v>
      </c>
      <c r="CF56" s="5">
        <v>85.14</v>
      </c>
      <c r="CG56" s="5">
        <v>237.76</v>
      </c>
      <c r="CH56" s="5">
        <v>81.459999999999994</v>
      </c>
      <c r="CI56" s="5">
        <v>238.07</v>
      </c>
      <c r="CJ56" s="5">
        <v>84.41</v>
      </c>
      <c r="CM56" s="13" t="s">
        <v>87</v>
      </c>
      <c r="CN56" s="20">
        <v>39.749090000000002</v>
      </c>
      <c r="CO56" s="20">
        <v>-105.04810000000001</v>
      </c>
      <c r="CP56" s="19">
        <v>0.192</v>
      </c>
      <c r="CQ56" s="19">
        <v>0.35700000000000004</v>
      </c>
      <c r="CR56" s="19">
        <v>0.34200000000000003</v>
      </c>
      <c r="CS56" s="19">
        <v>0.186</v>
      </c>
      <c r="CT56" s="98">
        <v>280.92777777777781</v>
      </c>
      <c r="CU56" s="98">
        <v>294.81666666666672</v>
      </c>
      <c r="CV56" s="98">
        <v>303.15000000000003</v>
      </c>
      <c r="CW56" s="98">
        <v>284.26111111111112</v>
      </c>
      <c r="CX56" s="104">
        <v>1</v>
      </c>
      <c r="CY56" s="104">
        <v>2</v>
      </c>
      <c r="CZ56" s="104">
        <v>3</v>
      </c>
      <c r="DA56" s="104">
        <v>4</v>
      </c>
      <c r="DB56" s="104">
        <v>1</v>
      </c>
      <c r="DD56" s="13" t="s">
        <v>420</v>
      </c>
      <c r="DE56" s="19">
        <v>0.61199999999999999</v>
      </c>
      <c r="DG56">
        <f t="shared" si="32"/>
        <v>17</v>
      </c>
      <c r="DH56" s="5">
        <f t="shared" ca="1" si="33"/>
        <v>870.64</v>
      </c>
      <c r="DI56" s="5">
        <f t="shared" ca="1" si="34"/>
        <v>765.89</v>
      </c>
      <c r="DJ56" s="5">
        <f t="shared" ca="1" si="35"/>
        <v>757.7133783298259</v>
      </c>
      <c r="DK56" s="5">
        <f t="shared" ca="1" si="36"/>
        <v>860.13327753712531</v>
      </c>
      <c r="DL56" s="5">
        <f t="shared" ca="1" si="4"/>
        <v>69.211666666666716</v>
      </c>
      <c r="DM56" s="5">
        <f t="shared" ca="1" si="5"/>
        <v>68.817000000000036</v>
      </c>
      <c r="DN56" s="5">
        <f t="shared" ca="1" si="6"/>
        <v>68.083000000000013</v>
      </c>
      <c r="DO56" s="5">
        <f t="shared" ca="1" si="7"/>
        <v>68.379333333333335</v>
      </c>
      <c r="DP56" s="5">
        <f t="shared" ca="1" si="8"/>
        <v>30.775999999999989</v>
      </c>
      <c r="DQ56" s="5">
        <f t="shared" ca="1" si="9"/>
        <v>28.353999999999996</v>
      </c>
      <c r="DR56" s="5">
        <f t="shared" ca="1" si="10"/>
        <v>28.054999999999996</v>
      </c>
      <c r="DS56" s="5">
        <f t="shared" ca="1" si="11"/>
        <v>30.404000000000003</v>
      </c>
      <c r="DU56">
        <f t="shared" si="37"/>
        <v>17</v>
      </c>
      <c r="DV56" s="5">
        <v>976.65</v>
      </c>
      <c r="DW56" s="5">
        <v>933.06033504266577</v>
      </c>
      <c r="DX56" s="5">
        <v>923.10320449155802</v>
      </c>
      <c r="DY56" s="5">
        <v>964.86178679287343</v>
      </c>
      <c r="DZ56" s="5">
        <v>870.64</v>
      </c>
      <c r="EA56" s="5">
        <v>765.89</v>
      </c>
      <c r="EB56" s="5">
        <v>757.7133783298259</v>
      </c>
      <c r="EC56" s="5">
        <v>860.13327753712531</v>
      </c>
      <c r="EE56">
        <f t="shared" si="38"/>
        <v>17</v>
      </c>
      <c r="EF56" s="5">
        <v>39.02200000000002</v>
      </c>
      <c r="EG56" s="5">
        <v>37.277999999999984</v>
      </c>
      <c r="EH56" s="5">
        <v>36.881666666666661</v>
      </c>
      <c r="EI56" s="5">
        <v>38.548999999999992</v>
      </c>
      <c r="EJ56" s="5">
        <v>69.211666666666716</v>
      </c>
      <c r="EK56" s="5">
        <v>68.817000000000036</v>
      </c>
      <c r="EL56" s="5">
        <v>68.083000000000013</v>
      </c>
      <c r="EM56" s="5">
        <v>68.379333333333335</v>
      </c>
      <c r="EO56">
        <f t="shared" si="39"/>
        <v>17</v>
      </c>
      <c r="EP56" s="5">
        <v>30.656999999999989</v>
      </c>
      <c r="EQ56" s="5">
        <v>29.288</v>
      </c>
      <c r="ER56" s="5">
        <v>28.979000000000003</v>
      </c>
      <c r="ES56" s="5">
        <v>30.285</v>
      </c>
      <c r="ET56" s="5">
        <v>30.775999999999989</v>
      </c>
      <c r="EU56" s="5">
        <v>28.353999999999996</v>
      </c>
      <c r="EV56" s="5">
        <v>28.054999999999996</v>
      </c>
      <c r="EW56" s="5">
        <v>30.404000000000003</v>
      </c>
    </row>
    <row r="57" spans="1:153">
      <c r="A57" s="167" t="s">
        <v>590</v>
      </c>
      <c r="B57" s="167" t="s">
        <v>595</v>
      </c>
      <c r="C57" t="s">
        <v>533</v>
      </c>
      <c r="D57" s="110">
        <f>(1/(2*PI()))*(D56-SIN(D56))</f>
        <v>5.7742520654836982E-2</v>
      </c>
      <c r="F57" t="s">
        <v>472</v>
      </c>
      <c r="I57">
        <f t="shared" si="40"/>
        <v>17.5</v>
      </c>
      <c r="J57" s="5">
        <f t="shared" ca="1" si="12"/>
        <v>254</v>
      </c>
      <c r="K57" s="5">
        <f t="shared" ca="1" si="13"/>
        <v>96.37</v>
      </c>
      <c r="L57" s="5">
        <f t="shared" ca="1" si="14"/>
        <v>281.10000000000002</v>
      </c>
      <c r="M57" s="5">
        <f t="shared" ca="1" si="15"/>
        <v>77.040000000000006</v>
      </c>
      <c r="N57" s="5">
        <f t="shared" ca="1" si="16"/>
        <v>279.38</v>
      </c>
      <c r="O57" s="5">
        <f t="shared" ca="1" si="17"/>
        <v>75.59</v>
      </c>
      <c r="P57" s="5">
        <f t="shared" ca="1" si="18"/>
        <v>259.36</v>
      </c>
      <c r="Q57" s="5">
        <f t="shared" ca="1" si="19"/>
        <v>101.74</v>
      </c>
      <c r="S57">
        <f t="shared" ca="1" si="20"/>
        <v>-0.11094858128447953</v>
      </c>
      <c r="T57">
        <f t="shared" ca="1" si="21"/>
        <v>0.99382614793079438</v>
      </c>
      <c r="U57">
        <f t="shared" ca="1" si="22"/>
        <v>4.4331363000655974</v>
      </c>
      <c r="V57">
        <f t="shared" ca="1" si="23"/>
        <v>0.22427076094938117</v>
      </c>
      <c r="W57">
        <f t="shared" ca="1" si="24"/>
        <v>0.97452687278657713</v>
      </c>
      <c r="X57">
        <f t="shared" ca="1" si="25"/>
        <v>4.9061205273560606</v>
      </c>
      <c r="Y57">
        <f t="shared" ca="1" si="26"/>
        <v>0.24885893302864359</v>
      </c>
      <c r="Z57">
        <f t="shared" ca="1" si="27"/>
        <v>0.96853974180301194</v>
      </c>
      <c r="AA57">
        <f t="shared" ca="1" si="28"/>
        <v>4.8761008642217574</v>
      </c>
      <c r="AB57">
        <f t="shared" ca="1" si="29"/>
        <v>-0.20347087236918762</v>
      </c>
      <c r="AC57">
        <f t="shared" ca="1" si="30"/>
        <v>0.97908099976320739</v>
      </c>
      <c r="AD57">
        <f t="shared" ca="1" si="31"/>
        <v>4.5266859479724939</v>
      </c>
      <c r="AI57" t="s">
        <v>53</v>
      </c>
      <c r="AJ57">
        <v>39</v>
      </c>
      <c r="AK57">
        <v>40</v>
      </c>
      <c r="AO57">
        <f t="shared" si="41"/>
        <v>17.5</v>
      </c>
      <c r="AP57" s="5">
        <v>248.3</v>
      </c>
      <c r="AQ57" s="5">
        <v>83.1</v>
      </c>
      <c r="AR57" s="5">
        <v>247.06</v>
      </c>
      <c r="AS57" s="5">
        <v>83.6</v>
      </c>
      <c r="AT57" s="5">
        <v>247.13</v>
      </c>
      <c r="AU57" s="5">
        <v>86.19</v>
      </c>
      <c r="AV57" s="5">
        <v>245.5</v>
      </c>
      <c r="AW57" s="5">
        <v>86.57</v>
      </c>
      <c r="AX57" s="5">
        <v>248.19</v>
      </c>
      <c r="AY57" s="5">
        <v>90.52</v>
      </c>
      <c r="AZ57" s="5">
        <v>254</v>
      </c>
      <c r="BA57" s="5">
        <v>96.37</v>
      </c>
      <c r="BB57">
        <f t="shared" ref="BB57" si="60">BB56+1</f>
        <v>17.5</v>
      </c>
      <c r="BC57" s="5">
        <v>247.17</v>
      </c>
      <c r="BD57" s="5">
        <v>81.290000000000006</v>
      </c>
      <c r="BE57" s="5">
        <v>250.55</v>
      </c>
      <c r="BF57" s="5">
        <v>88.92</v>
      </c>
      <c r="BG57" s="5">
        <v>247.03</v>
      </c>
      <c r="BH57" s="5">
        <v>86.4</v>
      </c>
      <c r="BI57" s="5">
        <v>246.33</v>
      </c>
      <c r="BJ57" s="5">
        <v>87.75</v>
      </c>
      <c r="BK57" s="5">
        <v>248.65</v>
      </c>
      <c r="BL57" s="5">
        <v>91.65</v>
      </c>
      <c r="BM57" s="5">
        <v>244.63</v>
      </c>
      <c r="BN57" s="5">
        <v>89.43</v>
      </c>
      <c r="BO57">
        <f t="shared" si="43"/>
        <v>17.5</v>
      </c>
      <c r="BP57" s="5">
        <v>247.1</v>
      </c>
      <c r="BQ57" s="5">
        <v>85.14</v>
      </c>
      <c r="BR57" s="5">
        <v>249.81</v>
      </c>
      <c r="BS57" s="5">
        <v>90.35</v>
      </c>
      <c r="BT57" s="5">
        <v>248.21</v>
      </c>
      <c r="BU57" s="5">
        <v>89.51</v>
      </c>
      <c r="BV57" s="5">
        <v>248.11</v>
      </c>
      <c r="BW57" s="5">
        <v>90.85</v>
      </c>
      <c r="BX57" s="5">
        <v>246.36</v>
      </c>
      <c r="BY57" s="5">
        <v>90.98</v>
      </c>
      <c r="BZ57">
        <f t="shared" si="44"/>
        <v>17.5</v>
      </c>
      <c r="CA57" s="5">
        <v>251.87</v>
      </c>
      <c r="CB57" s="5">
        <v>92.26</v>
      </c>
      <c r="CC57" s="5">
        <v>250.51</v>
      </c>
      <c r="CD57" s="5">
        <v>91.5</v>
      </c>
      <c r="CE57" s="5">
        <v>253.61</v>
      </c>
      <c r="CF57" s="5">
        <v>95.92</v>
      </c>
      <c r="CG57" s="5">
        <v>248.38</v>
      </c>
      <c r="CH57" s="5">
        <v>91.17</v>
      </c>
      <c r="CI57" s="5">
        <v>249.26</v>
      </c>
      <c r="CJ57" s="5">
        <v>93.44</v>
      </c>
      <c r="CM57" s="17" t="s">
        <v>88</v>
      </c>
      <c r="CN57" s="20">
        <v>39.081940000000003</v>
      </c>
      <c r="CO57" s="20">
        <v>-108.55473000000001</v>
      </c>
      <c r="CP57" s="19">
        <v>0.23599999999999993</v>
      </c>
      <c r="CQ57" s="19">
        <v>0.29099999999999998</v>
      </c>
      <c r="CR57" s="19">
        <v>0.27700000000000002</v>
      </c>
      <c r="CS57" s="19">
        <v>0.19500000000000001</v>
      </c>
      <c r="CT57" s="98">
        <v>280.37222222222221</v>
      </c>
      <c r="CU57" s="98">
        <v>297.59444444444449</v>
      </c>
      <c r="CV57" s="98">
        <v>305.37222222222226</v>
      </c>
      <c r="CW57" s="98">
        <v>283.14999999999998</v>
      </c>
      <c r="CX57" s="104">
        <v>1</v>
      </c>
      <c r="CY57" s="104">
        <v>2</v>
      </c>
      <c r="CZ57" s="104">
        <v>3</v>
      </c>
      <c r="DA57" s="104">
        <v>4</v>
      </c>
      <c r="DB57" s="104">
        <v>1</v>
      </c>
      <c r="DD57" s="13" t="s">
        <v>421</v>
      </c>
      <c r="DE57" s="19">
        <v>2.4E-2</v>
      </c>
      <c r="DG57">
        <f t="shared" si="32"/>
        <v>18</v>
      </c>
      <c r="DH57" s="5">
        <f t="shared" ca="1" si="33"/>
        <v>868.94</v>
      </c>
      <c r="DI57" s="5">
        <f t="shared" ca="1" si="34"/>
        <v>764.21</v>
      </c>
      <c r="DJ57" s="5">
        <f t="shared" ca="1" si="35"/>
        <v>756.05131396602167</v>
      </c>
      <c r="DK57" s="5">
        <f t="shared" ca="1" si="36"/>
        <v>858.4537928226473</v>
      </c>
      <c r="DL57" s="5">
        <f t="shared" ca="1" si="4"/>
        <v>68.423333333333389</v>
      </c>
      <c r="DM57" s="5">
        <f t="shared" ca="1" si="5"/>
        <v>68.034666666666709</v>
      </c>
      <c r="DN57" s="5">
        <f t="shared" ca="1" si="6"/>
        <v>67.308666666666682</v>
      </c>
      <c r="DO57" s="5">
        <f t="shared" ca="1" si="7"/>
        <v>67.600666666666669</v>
      </c>
      <c r="DP57" s="5">
        <f t="shared" ca="1" si="8"/>
        <v>30.483999999999988</v>
      </c>
      <c r="DQ57" s="5">
        <f t="shared" ca="1" si="9"/>
        <v>28.085999999999995</v>
      </c>
      <c r="DR57" s="5">
        <f t="shared" ca="1" si="10"/>
        <v>27.789999999999996</v>
      </c>
      <c r="DS57" s="5">
        <f t="shared" ca="1" si="11"/>
        <v>30.116000000000003</v>
      </c>
      <c r="DU57">
        <f t="shared" si="37"/>
        <v>18</v>
      </c>
      <c r="DV57" s="5">
        <v>975.38</v>
      </c>
      <c r="DW57" s="5">
        <v>931.84701745140569</v>
      </c>
      <c r="DX57" s="5">
        <v>921.90283478930621</v>
      </c>
      <c r="DY57" s="5">
        <v>963.60711575491018</v>
      </c>
      <c r="DZ57" s="5">
        <v>868.94</v>
      </c>
      <c r="EA57" s="5">
        <v>764.21</v>
      </c>
      <c r="EB57" s="5">
        <v>756.05131396602167</v>
      </c>
      <c r="EC57" s="5">
        <v>858.4537928226473</v>
      </c>
      <c r="EE57">
        <f t="shared" si="38"/>
        <v>18</v>
      </c>
      <c r="EF57" s="5">
        <v>38.618000000000023</v>
      </c>
      <c r="EG57" s="5">
        <v>36.891999999999982</v>
      </c>
      <c r="EH57" s="5">
        <v>36.499999999999993</v>
      </c>
      <c r="EI57" s="5">
        <v>38.149333333333324</v>
      </c>
      <c r="EJ57" s="5">
        <v>68.423333333333389</v>
      </c>
      <c r="EK57" s="5">
        <v>68.034666666666709</v>
      </c>
      <c r="EL57" s="5">
        <v>67.308666666666682</v>
      </c>
      <c r="EM57" s="5">
        <v>67.600666666666669</v>
      </c>
      <c r="EO57">
        <f t="shared" si="39"/>
        <v>18</v>
      </c>
      <c r="EP57" s="5">
        <v>30.367999999999988</v>
      </c>
      <c r="EQ57" s="5">
        <v>29.012</v>
      </c>
      <c r="ER57" s="5">
        <v>28.706000000000003</v>
      </c>
      <c r="ES57" s="5">
        <v>30</v>
      </c>
      <c r="ET57" s="5">
        <v>30.483999999999988</v>
      </c>
      <c r="EU57" s="5">
        <v>28.085999999999995</v>
      </c>
      <c r="EV57" s="5">
        <v>27.789999999999996</v>
      </c>
      <c r="EW57" s="5">
        <v>30.116000000000003</v>
      </c>
    </row>
    <row r="58" spans="1:153">
      <c r="A58" s="167" t="s">
        <v>590</v>
      </c>
      <c r="B58" s="167" t="s">
        <v>595</v>
      </c>
      <c r="C58" t="s">
        <v>525</v>
      </c>
      <c r="D58" s="110">
        <f>D57*D54</f>
        <v>0.29980619038441458</v>
      </c>
      <c r="E58" t="s">
        <v>468</v>
      </c>
      <c r="F58" t="s">
        <v>467</v>
      </c>
      <c r="I58">
        <f t="shared" si="40"/>
        <v>18.5</v>
      </c>
      <c r="J58" s="5">
        <f t="shared" ca="1" si="12"/>
        <v>263.95</v>
      </c>
      <c r="K58" s="5">
        <f t="shared" ca="1" si="13"/>
        <v>107.34</v>
      </c>
      <c r="L58" s="5">
        <f t="shared" ca="1" si="14"/>
        <v>291.08</v>
      </c>
      <c r="M58" s="5">
        <f t="shared" ca="1" si="15"/>
        <v>87.48</v>
      </c>
      <c r="N58" s="5">
        <f t="shared" ca="1" si="16"/>
        <v>289.33</v>
      </c>
      <c r="O58" s="5">
        <f t="shared" ca="1" si="17"/>
        <v>86.07</v>
      </c>
      <c r="P58" s="5">
        <f t="shared" ca="1" si="18"/>
        <v>269.41000000000003</v>
      </c>
      <c r="Q58" s="5">
        <f t="shared" ca="1" si="19"/>
        <v>112.52</v>
      </c>
      <c r="S58">
        <f t="shared" ca="1" si="20"/>
        <v>-0.29804135033600265</v>
      </c>
      <c r="T58">
        <f t="shared" ca="1" si="21"/>
        <v>0.95455296002363965</v>
      </c>
      <c r="U58">
        <f t="shared" ca="1" si="22"/>
        <v>4.6067965606390322</v>
      </c>
      <c r="V58">
        <f t="shared" ca="1" si="23"/>
        <v>4.3968118317864895E-2</v>
      </c>
      <c r="W58">
        <f t="shared" ca="1" si="24"/>
        <v>0.99903293467812471</v>
      </c>
      <c r="X58">
        <f t="shared" ca="1" si="25"/>
        <v>5.0803043867050945</v>
      </c>
      <c r="Y58">
        <f t="shared" ca="1" si="26"/>
        <v>6.8537667584822354E-2</v>
      </c>
      <c r="Z58">
        <f t="shared" ca="1" si="27"/>
        <v>0.99764852935391646</v>
      </c>
      <c r="AA58">
        <f t="shared" ca="1" si="28"/>
        <v>5.049761124795193</v>
      </c>
      <c r="AB58">
        <f t="shared" ca="1" si="29"/>
        <v>-0.38300590383881478</v>
      </c>
      <c r="AC58">
        <f t="shared" ca="1" si="30"/>
        <v>0.92374589451028821</v>
      </c>
      <c r="AD58">
        <f t="shared" ca="1" si="31"/>
        <v>4.7020915377979238</v>
      </c>
      <c r="AI58" t="s">
        <v>54</v>
      </c>
      <c r="AJ58">
        <v>41</v>
      </c>
      <c r="AK58">
        <v>42</v>
      </c>
      <c r="AO58">
        <f t="shared" si="41"/>
        <v>18.5</v>
      </c>
      <c r="AP58" s="5">
        <v>254.9</v>
      </c>
      <c r="AQ58" s="5">
        <v>95.93</v>
      </c>
      <c r="AR58" s="5">
        <v>254.7</v>
      </c>
      <c r="AS58" s="5">
        <v>95.88</v>
      </c>
      <c r="AT58" s="5">
        <v>255.68</v>
      </c>
      <c r="AU58" s="5">
        <v>97.8</v>
      </c>
      <c r="AV58" s="5">
        <v>255.05</v>
      </c>
      <c r="AW58" s="5">
        <v>97.34</v>
      </c>
      <c r="AX58" s="5">
        <v>258.12</v>
      </c>
      <c r="AY58" s="5">
        <v>100.99</v>
      </c>
      <c r="AZ58" s="5">
        <v>263.95</v>
      </c>
      <c r="BA58" s="5">
        <v>107.34</v>
      </c>
      <c r="BB58">
        <f t="shared" ref="BB58" si="61">BB57+1</f>
        <v>18.5</v>
      </c>
      <c r="BC58" s="5">
        <v>253.71</v>
      </c>
      <c r="BD58" s="5">
        <v>94.21</v>
      </c>
      <c r="BE58" s="5">
        <v>257.52999999999997</v>
      </c>
      <c r="BF58" s="5">
        <v>101.55</v>
      </c>
      <c r="BG58" s="5">
        <v>255.54</v>
      </c>
      <c r="BH58" s="5">
        <v>98.13</v>
      </c>
      <c r="BI58" s="5">
        <v>255.76</v>
      </c>
      <c r="BJ58" s="5">
        <v>98.82</v>
      </c>
      <c r="BK58" s="5">
        <v>258.74</v>
      </c>
      <c r="BL58" s="5">
        <v>102.09</v>
      </c>
      <c r="BM58" s="5">
        <v>255.4</v>
      </c>
      <c r="BN58" s="5">
        <v>99.02</v>
      </c>
      <c r="BO58">
        <f t="shared" si="43"/>
        <v>18.5</v>
      </c>
      <c r="BP58" s="5">
        <v>255.05</v>
      </c>
      <c r="BQ58" s="5">
        <v>97.13</v>
      </c>
      <c r="BR58" s="5">
        <v>258.24</v>
      </c>
      <c r="BS58" s="5">
        <v>101.96</v>
      </c>
      <c r="BT58" s="5">
        <v>257.39999999999998</v>
      </c>
      <c r="BU58" s="5">
        <v>100.71</v>
      </c>
      <c r="BV58" s="5">
        <v>258.01</v>
      </c>
      <c r="BW58" s="5">
        <v>101.31</v>
      </c>
      <c r="BX58" s="5">
        <v>257.14</v>
      </c>
      <c r="BY58" s="5">
        <v>100.51</v>
      </c>
      <c r="BZ58">
        <f t="shared" si="44"/>
        <v>18.5</v>
      </c>
      <c r="CA58" s="5">
        <v>259.57</v>
      </c>
      <c r="CB58" s="5">
        <v>104.4</v>
      </c>
      <c r="CC58" s="5">
        <v>259.12</v>
      </c>
      <c r="CD58" s="5">
        <v>103.02</v>
      </c>
      <c r="CE58" s="5">
        <v>262.64999999999998</v>
      </c>
      <c r="CF58" s="5">
        <v>107.27</v>
      </c>
      <c r="CG58" s="5">
        <v>258.33999999999997</v>
      </c>
      <c r="CH58" s="5">
        <v>101.67</v>
      </c>
      <c r="CI58" s="5">
        <v>259.98</v>
      </c>
      <c r="CJ58" s="5">
        <v>103.17</v>
      </c>
      <c r="CM58" s="18" t="s">
        <v>89</v>
      </c>
      <c r="CN58" s="20">
        <v>38.282829999999997</v>
      </c>
      <c r="CO58" s="20">
        <v>-104.60839</v>
      </c>
      <c r="CP58" s="19">
        <v>0.15499999999999997</v>
      </c>
      <c r="CQ58" s="19">
        <v>0.307</v>
      </c>
      <c r="CR58" s="19">
        <v>0.31</v>
      </c>
      <c r="CS58" s="19">
        <v>0.15399999999999997</v>
      </c>
      <c r="CT58" s="98">
        <v>283.14999999999998</v>
      </c>
      <c r="CU58" s="98">
        <v>298.15000000000003</v>
      </c>
      <c r="CV58" s="98">
        <v>305.37222222222226</v>
      </c>
      <c r="CW58" s="98">
        <v>287.03888888888895</v>
      </c>
      <c r="CX58" s="104">
        <v>1</v>
      </c>
      <c r="CY58" s="104">
        <v>2</v>
      </c>
      <c r="CZ58" s="104">
        <v>3</v>
      </c>
      <c r="DA58" s="104">
        <v>4</v>
      </c>
      <c r="DB58" s="104">
        <v>1</v>
      </c>
      <c r="DD58" s="13" t="s">
        <v>422</v>
      </c>
      <c r="DE58" s="19">
        <v>0.70299999999999996</v>
      </c>
      <c r="DG58">
        <f t="shared" si="32"/>
        <v>19</v>
      </c>
      <c r="DH58" s="5">
        <f t="shared" ca="1" si="33"/>
        <v>867.1</v>
      </c>
      <c r="DI58" s="5">
        <f t="shared" ca="1" si="34"/>
        <v>762.43</v>
      </c>
      <c r="DJ58" s="5">
        <f t="shared" ca="1" si="35"/>
        <v>754.29031719960983</v>
      </c>
      <c r="DK58" s="5">
        <f t="shared" ca="1" si="36"/>
        <v>856.63599760227112</v>
      </c>
      <c r="DL58" s="5">
        <f t="shared" ca="1" si="4"/>
        <v>67.635000000000062</v>
      </c>
      <c r="DM58" s="5">
        <f t="shared" ca="1" si="5"/>
        <v>67.252333333333382</v>
      </c>
      <c r="DN58" s="5">
        <f t="shared" ca="1" si="6"/>
        <v>66.53433333333335</v>
      </c>
      <c r="DO58" s="5">
        <f t="shared" ca="1" si="7"/>
        <v>66.822000000000003</v>
      </c>
      <c r="DP58" s="5">
        <f t="shared" ca="1" si="8"/>
        <v>30.191999999999986</v>
      </c>
      <c r="DQ58" s="5">
        <f t="shared" ca="1" si="9"/>
        <v>27.817999999999994</v>
      </c>
      <c r="DR58" s="5">
        <f t="shared" ca="1" si="10"/>
        <v>27.524999999999995</v>
      </c>
      <c r="DS58" s="5">
        <f t="shared" ca="1" si="11"/>
        <v>29.828000000000003</v>
      </c>
      <c r="DU58">
        <f t="shared" si="37"/>
        <v>19</v>
      </c>
      <c r="DV58" s="5">
        <v>974.03</v>
      </c>
      <c r="DW58" s="5">
        <v>930.55727040557804</v>
      </c>
      <c r="DX58" s="5">
        <v>920.62685124754239</v>
      </c>
      <c r="DY58" s="5">
        <v>962.27341032085451</v>
      </c>
      <c r="DZ58" s="5">
        <v>867.1</v>
      </c>
      <c r="EA58" s="5">
        <v>762.43</v>
      </c>
      <c r="EB58" s="5">
        <v>754.29031719960983</v>
      </c>
      <c r="EC58" s="5">
        <v>856.63599760227112</v>
      </c>
      <c r="EE58">
        <f t="shared" si="38"/>
        <v>19</v>
      </c>
      <c r="EF58" s="5">
        <v>38.214000000000027</v>
      </c>
      <c r="EG58" s="5">
        <v>36.505999999999979</v>
      </c>
      <c r="EH58" s="5">
        <v>36.118333333333325</v>
      </c>
      <c r="EI58" s="5">
        <v>37.749666666666656</v>
      </c>
      <c r="EJ58" s="5">
        <v>67.635000000000062</v>
      </c>
      <c r="EK58" s="5">
        <v>67.252333333333382</v>
      </c>
      <c r="EL58" s="5">
        <v>66.53433333333335</v>
      </c>
      <c r="EM58" s="5">
        <v>66.822000000000003</v>
      </c>
      <c r="EO58">
        <f t="shared" si="39"/>
        <v>19</v>
      </c>
      <c r="EP58" s="5">
        <v>30.078999999999986</v>
      </c>
      <c r="EQ58" s="5">
        <v>28.736000000000001</v>
      </c>
      <c r="ER58" s="5">
        <v>28.433000000000003</v>
      </c>
      <c r="ES58" s="5">
        <v>29.715</v>
      </c>
      <c r="ET58" s="5">
        <v>30.191999999999986</v>
      </c>
      <c r="EU58" s="5">
        <v>27.817999999999994</v>
      </c>
      <c r="EV58" s="5">
        <v>27.524999999999995</v>
      </c>
      <c r="EW58" s="5">
        <v>29.828000000000003</v>
      </c>
    </row>
    <row r="59" spans="1:153">
      <c r="A59" s="167" t="s">
        <v>590</v>
      </c>
      <c r="B59" s="167" t="s">
        <v>595</v>
      </c>
      <c r="C59" t="s">
        <v>526</v>
      </c>
      <c r="D59" s="110">
        <f>D54-D58</f>
        <v>4.8923154382598035</v>
      </c>
      <c r="E59" t="s">
        <v>468</v>
      </c>
      <c r="F59" t="s">
        <v>466</v>
      </c>
      <c r="I59">
        <f t="shared" si="40"/>
        <v>19.5</v>
      </c>
      <c r="J59" s="5">
        <f t="shared" ca="1" si="12"/>
        <v>274.05</v>
      </c>
      <c r="K59" s="5">
        <f t="shared" ca="1" si="13"/>
        <v>118.37</v>
      </c>
      <c r="L59" s="5">
        <f t="shared" ca="1" si="14"/>
        <v>301.49</v>
      </c>
      <c r="M59" s="5">
        <f t="shared" ca="1" si="15"/>
        <v>97.41</v>
      </c>
      <c r="N59" s="5">
        <f t="shared" ca="1" si="16"/>
        <v>299.95</v>
      </c>
      <c r="O59" s="5">
        <f t="shared" ca="1" si="17"/>
        <v>95.72</v>
      </c>
      <c r="P59" s="5">
        <f t="shared" ca="1" si="18"/>
        <v>280.54000000000002</v>
      </c>
      <c r="Q59" s="5">
        <f t="shared" ca="1" si="19"/>
        <v>123.11</v>
      </c>
      <c r="S59">
        <f t="shared" ca="1" si="20"/>
        <v>-0.47516356097807366</v>
      </c>
      <c r="T59">
        <f t="shared" ca="1" si="21"/>
        <v>0.87989748852842875</v>
      </c>
      <c r="U59">
        <f t="shared" ca="1" si="22"/>
        <v>4.7830748150904601</v>
      </c>
      <c r="V59">
        <f t="shared" ca="1" si="23"/>
        <v>-0.12896867388382149</v>
      </c>
      <c r="W59">
        <f t="shared" ca="1" si="24"/>
        <v>0.99164866820696562</v>
      </c>
      <c r="X59">
        <f t="shared" ca="1" si="25"/>
        <v>5.2619931618377036</v>
      </c>
      <c r="Y59">
        <f t="shared" ca="1" si="26"/>
        <v>-9.9667083604402767E-2</v>
      </c>
      <c r="Z59">
        <f t="shared" ca="1" si="27"/>
        <v>0.99502084020677328</v>
      </c>
      <c r="AA59">
        <f t="shared" ca="1" si="28"/>
        <v>5.2351150913569917</v>
      </c>
      <c r="AB59">
        <f t="shared" ca="1" si="29"/>
        <v>-0.54624816219418426</v>
      </c>
      <c r="AC59">
        <f t="shared" ca="1" si="30"/>
        <v>0.83762339108902406</v>
      </c>
      <c r="AD59">
        <f t="shared" ca="1" si="31"/>
        <v>4.8963466835448921</v>
      </c>
      <c r="AI59" t="s">
        <v>55</v>
      </c>
      <c r="AJ59">
        <v>43</v>
      </c>
      <c r="AK59">
        <v>44</v>
      </c>
      <c r="AO59">
        <f t="shared" si="41"/>
        <v>19.5</v>
      </c>
      <c r="AP59" s="5">
        <v>260.55</v>
      </c>
      <c r="AQ59" s="5">
        <v>109.26</v>
      </c>
      <c r="AR59" s="5">
        <v>261.48</v>
      </c>
      <c r="AS59" s="5">
        <v>108.68</v>
      </c>
      <c r="AT59" s="5">
        <v>263.58</v>
      </c>
      <c r="AU59" s="5">
        <v>110.01</v>
      </c>
      <c r="AV59" s="5">
        <v>264.02999999999997</v>
      </c>
      <c r="AW59" s="5">
        <v>108.85</v>
      </c>
      <c r="AX59" s="5">
        <v>267.75</v>
      </c>
      <c r="AY59" s="5">
        <v>112.12</v>
      </c>
      <c r="AZ59" s="5">
        <v>274.05</v>
      </c>
      <c r="BA59" s="5">
        <v>118.37</v>
      </c>
      <c r="BB59">
        <f t="shared" ref="BB59" si="62">BB58+1</f>
        <v>19.5</v>
      </c>
      <c r="BC59" s="5">
        <v>259.74</v>
      </c>
      <c r="BD59" s="5">
        <v>107.79</v>
      </c>
      <c r="BE59" s="5">
        <v>264.42</v>
      </c>
      <c r="BF59" s="5">
        <v>114.35</v>
      </c>
      <c r="BG59" s="5">
        <v>263.89</v>
      </c>
      <c r="BH59" s="5">
        <v>109.96</v>
      </c>
      <c r="BI59" s="5">
        <v>265.13</v>
      </c>
      <c r="BJ59" s="5">
        <v>109.89</v>
      </c>
      <c r="BK59" s="5">
        <v>269.02</v>
      </c>
      <c r="BL59" s="5">
        <v>112.45</v>
      </c>
      <c r="BM59" s="5">
        <v>266.20999999999998</v>
      </c>
      <c r="BN59" s="5">
        <v>108.92</v>
      </c>
      <c r="BO59">
        <f t="shared" si="43"/>
        <v>19.5</v>
      </c>
      <c r="BP59" s="5">
        <v>262.5</v>
      </c>
      <c r="BQ59" s="5">
        <v>108.63</v>
      </c>
      <c r="BR59" s="5">
        <v>266.51</v>
      </c>
      <c r="BS59" s="5">
        <v>114.12</v>
      </c>
      <c r="BT59" s="5">
        <v>266.42</v>
      </c>
      <c r="BU59" s="5">
        <v>112.9</v>
      </c>
      <c r="BV59" s="5">
        <v>267.83999999999997</v>
      </c>
      <c r="BW59" s="5">
        <v>112.27</v>
      </c>
      <c r="BX59" s="5">
        <v>267.87</v>
      </c>
      <c r="BY59" s="5">
        <v>110.58</v>
      </c>
      <c r="BZ59">
        <f t="shared" si="44"/>
        <v>19.5</v>
      </c>
      <c r="CA59" s="5">
        <v>267.17</v>
      </c>
      <c r="CB59" s="5">
        <v>116.97</v>
      </c>
      <c r="CC59" s="5">
        <v>267.64999999999998</v>
      </c>
      <c r="CD59" s="5">
        <v>115.01</v>
      </c>
      <c r="CE59" s="5">
        <v>271.95</v>
      </c>
      <c r="CF59" s="5">
        <v>118.87</v>
      </c>
      <c r="CG59" s="5">
        <v>268.26</v>
      </c>
      <c r="CH59" s="5">
        <v>112.26</v>
      </c>
      <c r="CI59" s="5">
        <v>270.83</v>
      </c>
      <c r="CJ59" s="5">
        <v>113.26</v>
      </c>
      <c r="CM59" s="13" t="s">
        <v>90</v>
      </c>
      <c r="CN59" s="20">
        <v>41.765599999999999</v>
      </c>
      <c r="CO59" s="20">
        <v>-72.681809999999999</v>
      </c>
      <c r="CP59" s="19">
        <v>0.35</v>
      </c>
      <c r="CQ59" s="19">
        <v>0.42100000000000004</v>
      </c>
      <c r="CR59" s="19">
        <v>0.39299999999999996</v>
      </c>
      <c r="CS59" s="19">
        <v>0.373</v>
      </c>
      <c r="CT59" s="98">
        <v>276.48333333333335</v>
      </c>
      <c r="CU59" s="98">
        <v>294.26111111111112</v>
      </c>
      <c r="CV59" s="98">
        <v>300.92777777777781</v>
      </c>
      <c r="CW59" s="98">
        <v>283.70555555555558</v>
      </c>
      <c r="CX59" s="104">
        <v>5</v>
      </c>
      <c r="CY59" s="104">
        <v>6</v>
      </c>
      <c r="CZ59" s="104">
        <v>7</v>
      </c>
      <c r="DA59" s="104">
        <v>8</v>
      </c>
      <c r="DB59" s="104">
        <v>2</v>
      </c>
      <c r="DG59">
        <f t="shared" si="32"/>
        <v>20</v>
      </c>
      <c r="DH59" s="5">
        <f t="shared" ca="1" si="33"/>
        <v>865.16</v>
      </c>
      <c r="DI59" s="5">
        <f t="shared" ca="1" si="34"/>
        <v>760.51</v>
      </c>
      <c r="DJ59" s="5">
        <f t="shared" ca="1" si="35"/>
        <v>752.39081506954778</v>
      </c>
      <c r="DK59" s="5">
        <f t="shared" ca="1" si="36"/>
        <v>854.71940916339622</v>
      </c>
      <c r="DL59" s="5">
        <f t="shared" ca="1" si="4"/>
        <v>66.846666666666678</v>
      </c>
      <c r="DM59" s="5">
        <f t="shared" ca="1" si="5"/>
        <v>66.47</v>
      </c>
      <c r="DN59" s="5">
        <f t="shared" ca="1" si="6"/>
        <v>65.760000000000005</v>
      </c>
      <c r="DO59" s="5">
        <f t="shared" ca="1" si="7"/>
        <v>66.043333333333337</v>
      </c>
      <c r="DP59" s="5">
        <f t="shared" ca="1" si="8"/>
        <v>29.9</v>
      </c>
      <c r="DQ59" s="5">
        <f t="shared" ca="1" si="9"/>
        <v>27.55</v>
      </c>
      <c r="DR59" s="5">
        <f t="shared" ca="1" si="10"/>
        <v>27.26</v>
      </c>
      <c r="DS59" s="5">
        <f t="shared" ca="1" si="11"/>
        <v>29.54</v>
      </c>
      <c r="DU59">
        <f t="shared" si="37"/>
        <v>20</v>
      </c>
      <c r="DV59" s="5">
        <v>972.6</v>
      </c>
      <c r="DW59" s="5">
        <v>929.19109390518281</v>
      </c>
      <c r="DX59" s="5">
        <v>919.27525386626667</v>
      </c>
      <c r="DY59" s="5">
        <v>960.86067049070675</v>
      </c>
      <c r="DZ59" s="5">
        <v>865.16</v>
      </c>
      <c r="EA59" s="5">
        <v>760.51</v>
      </c>
      <c r="EB59" s="5">
        <v>752.39081506954778</v>
      </c>
      <c r="EC59" s="5">
        <v>854.71940916339622</v>
      </c>
      <c r="EE59">
        <f t="shared" si="38"/>
        <v>20</v>
      </c>
      <c r="EF59" s="5">
        <v>37.809999999999995</v>
      </c>
      <c r="EG59" s="5">
        <v>36.119999999999997</v>
      </c>
      <c r="EH59" s="5">
        <v>35.736666666666672</v>
      </c>
      <c r="EI59" s="5">
        <v>37.35</v>
      </c>
      <c r="EJ59" s="5">
        <v>66.846666666666678</v>
      </c>
      <c r="EK59" s="5">
        <v>66.47</v>
      </c>
      <c r="EL59" s="5">
        <v>65.760000000000005</v>
      </c>
      <c r="EM59" s="5">
        <v>66.043333333333337</v>
      </c>
      <c r="EO59">
        <f t="shared" si="39"/>
        <v>20</v>
      </c>
      <c r="EP59" s="5">
        <v>29.79</v>
      </c>
      <c r="EQ59" s="5">
        <v>28.46</v>
      </c>
      <c r="ER59" s="5">
        <v>28.16</v>
      </c>
      <c r="ES59" s="5">
        <v>29.43</v>
      </c>
      <c r="ET59" s="5">
        <v>29.9</v>
      </c>
      <c r="EU59" s="5">
        <v>27.55</v>
      </c>
      <c r="EV59" s="5">
        <v>27.26</v>
      </c>
      <c r="EW59" s="5">
        <v>29.54</v>
      </c>
    </row>
    <row r="60" spans="1:153">
      <c r="A60" s="167" t="s">
        <v>588</v>
      </c>
      <c r="B60" s="167" t="s">
        <v>596</v>
      </c>
      <c r="C60" t="s">
        <v>529</v>
      </c>
      <c r="D60" s="108">
        <f>IF(VLOOKUP($D$6,$CM$39:$DB$227,16,FALSE)=1,EZ39,FB39)</f>
        <v>0.48899999999999999</v>
      </c>
      <c r="F60" t="s">
        <v>527</v>
      </c>
      <c r="I60">
        <f t="shared" si="40"/>
        <v>20.5</v>
      </c>
      <c r="J60" s="5">
        <f t="shared" ca="1" si="12"/>
        <v>285.69</v>
      </c>
      <c r="K60" s="5">
        <f t="shared" ca="1" si="13"/>
        <v>129.04</v>
      </c>
      <c r="L60" s="5">
        <f t="shared" ca="1" si="14"/>
        <v>313.25</v>
      </c>
      <c r="M60" s="5">
        <f t="shared" ca="1" si="15"/>
        <v>106.07</v>
      </c>
      <c r="N60" s="5">
        <f t="shared" ca="1" si="16"/>
        <v>311.47000000000003</v>
      </c>
      <c r="O60" s="5">
        <f t="shared" ca="1" si="17"/>
        <v>104.86</v>
      </c>
      <c r="P60" s="5">
        <f t="shared" ca="1" si="18"/>
        <v>293.43</v>
      </c>
      <c r="Q60" s="5">
        <f t="shared" ca="1" si="19"/>
        <v>133.52000000000001</v>
      </c>
      <c r="S60">
        <f t="shared" ca="1" si="20"/>
        <v>-0.62986278787604844</v>
      </c>
      <c r="T60">
        <f t="shared" ca="1" si="21"/>
        <v>0.77670642359195918</v>
      </c>
      <c r="U60">
        <f t="shared" ca="1" si="22"/>
        <v>4.9862311400225998</v>
      </c>
      <c r="V60">
        <f t="shared" ca="1" si="23"/>
        <v>-0.27681155252293405</v>
      </c>
      <c r="W60">
        <f t="shared" ca="1" si="24"/>
        <v>0.960924224062357</v>
      </c>
      <c r="X60">
        <f t="shared" ca="1" si="25"/>
        <v>5.4672438818722373</v>
      </c>
      <c r="Y60">
        <f t="shared" ca="1" si="26"/>
        <v>-0.25645807277193283</v>
      </c>
      <c r="Z60">
        <f t="shared" ca="1" si="27"/>
        <v>0.96655535636098255</v>
      </c>
      <c r="AA60">
        <f t="shared" ca="1" si="28"/>
        <v>5.4361770211867384</v>
      </c>
      <c r="AB60">
        <f t="shared" ca="1" si="29"/>
        <v>-0.68860773717332857</v>
      </c>
      <c r="AC60">
        <f t="shared" ca="1" si="30"/>
        <v>0.72513404574949325</v>
      </c>
      <c r="AD60">
        <f t="shared" ca="1" si="31"/>
        <v>5.1213196241269614</v>
      </c>
      <c r="AI60" t="s">
        <v>56</v>
      </c>
      <c r="AJ60">
        <v>45</v>
      </c>
      <c r="AK60">
        <v>46</v>
      </c>
      <c r="AO60">
        <f t="shared" si="41"/>
        <v>20.5</v>
      </c>
      <c r="AP60" s="5">
        <v>266.36</v>
      </c>
      <c r="AQ60" s="5">
        <v>122.66</v>
      </c>
      <c r="AR60" s="5">
        <v>268.58</v>
      </c>
      <c r="AS60" s="5">
        <v>121.54</v>
      </c>
      <c r="AT60" s="5">
        <v>272.04000000000002</v>
      </c>
      <c r="AU60" s="5">
        <v>122.21</v>
      </c>
      <c r="AV60" s="5">
        <v>273.60000000000002</v>
      </c>
      <c r="AW60" s="5">
        <v>120.33</v>
      </c>
      <c r="AX60" s="5">
        <v>278.3</v>
      </c>
      <c r="AY60" s="5">
        <v>123.87</v>
      </c>
      <c r="AZ60" s="5">
        <v>285.69</v>
      </c>
      <c r="BA60" s="5">
        <v>129.04</v>
      </c>
      <c r="BB60">
        <f t="shared" ref="BB60" si="63">BB59+1</f>
        <v>20.5</v>
      </c>
      <c r="BC60" s="5">
        <v>265.58999999999997</v>
      </c>
      <c r="BD60" s="5">
        <v>120.6</v>
      </c>
      <c r="BE60" s="5">
        <v>271.7</v>
      </c>
      <c r="BF60" s="5">
        <v>127.27</v>
      </c>
      <c r="BG60" s="5">
        <v>272.60000000000002</v>
      </c>
      <c r="BH60" s="5">
        <v>122.1</v>
      </c>
      <c r="BI60" s="5">
        <v>274.98</v>
      </c>
      <c r="BJ60" s="5">
        <v>121.22</v>
      </c>
      <c r="BK60" s="5">
        <v>280.11</v>
      </c>
      <c r="BL60" s="5">
        <v>123.16</v>
      </c>
      <c r="BM60" s="5">
        <v>277.56</v>
      </c>
      <c r="BN60" s="5">
        <v>118.87</v>
      </c>
      <c r="BO60">
        <f t="shared" si="43"/>
        <v>20.5</v>
      </c>
      <c r="BP60" s="5">
        <v>270.14999999999998</v>
      </c>
      <c r="BQ60" s="5">
        <v>122.22</v>
      </c>
      <c r="BR60" s="5">
        <v>275.42</v>
      </c>
      <c r="BS60" s="5">
        <v>127.58</v>
      </c>
      <c r="BT60" s="5">
        <v>276.05</v>
      </c>
      <c r="BU60" s="5">
        <v>123.77</v>
      </c>
      <c r="BV60" s="5">
        <v>278.39</v>
      </c>
      <c r="BW60" s="5">
        <v>123.16</v>
      </c>
      <c r="BX60" s="5">
        <v>279.27</v>
      </c>
      <c r="BY60" s="5">
        <v>120.66</v>
      </c>
      <c r="BZ60">
        <f t="shared" si="44"/>
        <v>20.5</v>
      </c>
      <c r="CA60" s="5">
        <v>275.52</v>
      </c>
      <c r="CB60" s="5">
        <v>129.59</v>
      </c>
      <c r="CC60" s="5">
        <v>276.95999999999998</v>
      </c>
      <c r="CD60" s="5">
        <v>126.99</v>
      </c>
      <c r="CE60" s="5">
        <v>282.5</v>
      </c>
      <c r="CF60" s="5">
        <v>130.37</v>
      </c>
      <c r="CG60" s="5">
        <v>278.93</v>
      </c>
      <c r="CH60" s="5">
        <v>123.38</v>
      </c>
      <c r="CI60" s="5">
        <v>282.58</v>
      </c>
      <c r="CJ60" s="5">
        <v>123.27</v>
      </c>
      <c r="CM60" s="13" t="s">
        <v>91</v>
      </c>
      <c r="CN60" s="20">
        <v>41.300690000000003</v>
      </c>
      <c r="CO60" s="20">
        <v>-72.932270000000003</v>
      </c>
      <c r="CP60" s="19">
        <v>0.30199999999999994</v>
      </c>
      <c r="CQ60" s="19">
        <v>0.36300000000000004</v>
      </c>
      <c r="CR60" s="19">
        <v>0.34799999999999998</v>
      </c>
      <c r="CS60" s="19">
        <v>0.34600000000000003</v>
      </c>
      <c r="CT60" s="98">
        <v>277.59444444444443</v>
      </c>
      <c r="CU60" s="98">
        <v>293.15000000000003</v>
      </c>
      <c r="CV60" s="98">
        <v>300.37222222222226</v>
      </c>
      <c r="CW60" s="98">
        <v>284.81666666666672</v>
      </c>
      <c r="CX60" s="104">
        <v>5</v>
      </c>
      <c r="CY60" s="104">
        <v>6</v>
      </c>
      <c r="CZ60" s="104">
        <v>7</v>
      </c>
      <c r="DA60" s="104">
        <v>8</v>
      </c>
      <c r="DB60" s="104">
        <v>2</v>
      </c>
      <c r="DG60">
        <f t="shared" si="32"/>
        <v>21</v>
      </c>
      <c r="DH60" s="5">
        <f t="shared" ca="1" si="33"/>
        <v>863.16</v>
      </c>
      <c r="DI60" s="5">
        <f t="shared" ca="1" si="34"/>
        <v>758.5</v>
      </c>
      <c r="DJ60" s="5">
        <f t="shared" ca="1" si="35"/>
        <v>750.40227377713893</v>
      </c>
      <c r="DK60" s="5">
        <f t="shared" ca="1" si="36"/>
        <v>852.74354479342207</v>
      </c>
      <c r="DL60" s="5">
        <f t="shared" ca="1" si="4"/>
        <v>65.720000000000013</v>
      </c>
      <c r="DM60" s="5">
        <f t="shared" ca="1" si="5"/>
        <v>65.330333333333328</v>
      </c>
      <c r="DN60" s="5">
        <f t="shared" ca="1" si="6"/>
        <v>64.653666666666666</v>
      </c>
      <c r="DO60" s="5">
        <f t="shared" ca="1" si="7"/>
        <v>64.929666666666677</v>
      </c>
      <c r="DP60" s="5">
        <f t="shared" ca="1" si="8"/>
        <v>29.462</v>
      </c>
      <c r="DQ60" s="5">
        <f t="shared" ca="1" si="9"/>
        <v>27.148</v>
      </c>
      <c r="DR60" s="5">
        <f t="shared" ca="1" si="10"/>
        <v>26.862000000000002</v>
      </c>
      <c r="DS60" s="5">
        <f t="shared" ca="1" si="11"/>
        <v>29.106999999999999</v>
      </c>
      <c r="DU60">
        <f t="shared" si="37"/>
        <v>21</v>
      </c>
      <c r="DV60" s="5">
        <v>971.09</v>
      </c>
      <c r="DW60" s="5">
        <v>927.74848795022001</v>
      </c>
      <c r="DX60" s="5">
        <v>917.84804264547904</v>
      </c>
      <c r="DY60" s="5">
        <v>959.36889626446691</v>
      </c>
      <c r="DZ60" s="5">
        <v>863.16</v>
      </c>
      <c r="EA60" s="5">
        <v>758.5</v>
      </c>
      <c r="EB60" s="5">
        <v>750.40227377713893</v>
      </c>
      <c r="EC60" s="5">
        <v>852.74354479342207</v>
      </c>
      <c r="EE60">
        <f t="shared" si="38"/>
        <v>21</v>
      </c>
      <c r="EF60" s="5">
        <v>37.227666666666664</v>
      </c>
      <c r="EG60" s="5">
        <v>35.56433333333333</v>
      </c>
      <c r="EH60" s="5">
        <v>35.186333333333337</v>
      </c>
      <c r="EI60" s="5">
        <v>36.775333333333336</v>
      </c>
      <c r="EJ60" s="5">
        <v>65.720000000000013</v>
      </c>
      <c r="EK60" s="5">
        <v>65.330333333333328</v>
      </c>
      <c r="EL60" s="5">
        <v>64.653666666666666</v>
      </c>
      <c r="EM60" s="5">
        <v>64.929666666666677</v>
      </c>
      <c r="EO60">
        <f t="shared" si="39"/>
        <v>21</v>
      </c>
      <c r="EP60" s="5">
        <v>29.355</v>
      </c>
      <c r="EQ60" s="5">
        <v>28.045999999999999</v>
      </c>
      <c r="ER60" s="5">
        <v>27.75</v>
      </c>
      <c r="ES60" s="5">
        <v>29.001000000000001</v>
      </c>
      <c r="ET60" s="5">
        <v>29.462</v>
      </c>
      <c r="EU60" s="5">
        <v>27.148</v>
      </c>
      <c r="EV60" s="5">
        <v>26.862000000000002</v>
      </c>
      <c r="EW60" s="5">
        <v>29.106999999999999</v>
      </c>
    </row>
    <row r="61" spans="1:153">
      <c r="A61" s="167" t="s">
        <v>588</v>
      </c>
      <c r="B61" s="167" t="s">
        <v>596</v>
      </c>
      <c r="C61" t="s">
        <v>530</v>
      </c>
      <c r="D61" s="108">
        <f>IF(VLOOKUP($D$6,$CM$39:$DB$227,16,FALSE)=1,EZ39,FA39)</f>
        <v>0.48199999999999998</v>
      </c>
      <c r="F61" t="s">
        <v>527</v>
      </c>
      <c r="I61">
        <f t="shared" si="40"/>
        <v>21.5</v>
      </c>
      <c r="J61" s="5">
        <f t="shared" ca="1" si="12"/>
        <v>292.45</v>
      </c>
      <c r="K61" s="5">
        <f t="shared" ca="1" si="13"/>
        <v>134.1</v>
      </c>
      <c r="L61" s="5">
        <f t="shared" ca="1" si="14"/>
        <v>319.7</v>
      </c>
      <c r="M61" s="5">
        <f t="shared" ca="1" si="15"/>
        <v>109.72</v>
      </c>
      <c r="N61" s="5">
        <f t="shared" ca="1" si="16"/>
        <v>317.77</v>
      </c>
      <c r="O61" s="5">
        <f t="shared" ca="1" si="17"/>
        <v>108.39</v>
      </c>
      <c r="P61" s="5">
        <f t="shared" ca="1" si="18"/>
        <v>301.17</v>
      </c>
      <c r="Q61" s="5">
        <f t="shared" ca="1" si="19"/>
        <v>138.32</v>
      </c>
      <c r="S61">
        <f t="shared" ca="1" si="20"/>
        <v>-0.69591279659231431</v>
      </c>
      <c r="T61">
        <f t="shared" ca="1" si="21"/>
        <v>0.71812629776318881</v>
      </c>
      <c r="U61">
        <f t="shared" ca="1" si="22"/>
        <v>5.1042153974574171</v>
      </c>
      <c r="V61">
        <f t="shared" ca="1" si="23"/>
        <v>-0.33742387309574101</v>
      </c>
      <c r="W61">
        <f t="shared" ca="1" si="24"/>
        <v>0.94135281901371559</v>
      </c>
      <c r="X61">
        <f t="shared" ca="1" si="25"/>
        <v>5.5798176186258708</v>
      </c>
      <c r="Y61">
        <f t="shared" ca="1" si="26"/>
        <v>-0.31548342203436958</v>
      </c>
      <c r="Z61">
        <f t="shared" ca="1" si="27"/>
        <v>0.94893108834176354</v>
      </c>
      <c r="AA61">
        <f t="shared" ca="1" si="28"/>
        <v>5.5461327640623805</v>
      </c>
      <c r="AB61">
        <f t="shared" ca="1" si="29"/>
        <v>-0.74687034599233526</v>
      </c>
      <c r="AC61">
        <f t="shared" ca="1" si="30"/>
        <v>0.66496968823946356</v>
      </c>
      <c r="AD61">
        <f t="shared" ca="1" si="31"/>
        <v>5.2564081082313221</v>
      </c>
      <c r="AI61" t="s">
        <v>57</v>
      </c>
      <c r="AJ61">
        <v>47</v>
      </c>
      <c r="AK61">
        <v>48</v>
      </c>
      <c r="AO61">
        <f t="shared" si="41"/>
        <v>21.5</v>
      </c>
      <c r="AP61" s="5">
        <v>269.45</v>
      </c>
      <c r="AQ61" s="5">
        <v>129.43</v>
      </c>
      <c r="AR61" s="5">
        <v>272.42</v>
      </c>
      <c r="AS61" s="5">
        <v>128.04</v>
      </c>
      <c r="AT61" s="5">
        <v>276.7</v>
      </c>
      <c r="AU61" s="5">
        <v>128.27000000000001</v>
      </c>
      <c r="AV61" s="5">
        <v>278.83999999999997</v>
      </c>
      <c r="AW61" s="5">
        <v>125.98</v>
      </c>
      <c r="AX61" s="5">
        <v>284.19</v>
      </c>
      <c r="AY61" s="5">
        <v>128.5</v>
      </c>
      <c r="AZ61" s="5">
        <v>292.45</v>
      </c>
      <c r="BA61" s="5">
        <v>134.1</v>
      </c>
      <c r="BB61">
        <f t="shared" ref="BB61" si="64">BB60+1</f>
        <v>21.5</v>
      </c>
      <c r="BC61" s="5">
        <v>268.66000000000003</v>
      </c>
      <c r="BD61" s="5">
        <v>127.32</v>
      </c>
      <c r="BE61" s="5">
        <v>275.83</v>
      </c>
      <c r="BF61" s="5">
        <v>133.74</v>
      </c>
      <c r="BG61" s="5">
        <v>277.39999999999998</v>
      </c>
      <c r="BH61" s="5">
        <v>128.15</v>
      </c>
      <c r="BI61" s="5">
        <v>280.39999999999998</v>
      </c>
      <c r="BJ61" s="5">
        <v>126.82</v>
      </c>
      <c r="BK61" s="5">
        <v>286.29000000000002</v>
      </c>
      <c r="BL61" s="5">
        <v>128.32</v>
      </c>
      <c r="BM61" s="5">
        <v>283.70999999999998</v>
      </c>
      <c r="BN61" s="5">
        <v>123.77</v>
      </c>
      <c r="BO61">
        <f t="shared" si="43"/>
        <v>21.5</v>
      </c>
      <c r="BP61" s="5">
        <v>274.33</v>
      </c>
      <c r="BQ61" s="5">
        <v>128.53</v>
      </c>
      <c r="BR61" s="5">
        <v>280.49</v>
      </c>
      <c r="BS61" s="5">
        <v>132.02000000000001</v>
      </c>
      <c r="BT61" s="5">
        <v>281.45</v>
      </c>
      <c r="BU61" s="5">
        <v>129.54</v>
      </c>
      <c r="BV61" s="5">
        <v>284.27999999999997</v>
      </c>
      <c r="BW61" s="5">
        <v>128.53</v>
      </c>
      <c r="BX61" s="5">
        <v>285.51</v>
      </c>
      <c r="BY61" s="5">
        <v>125.6</v>
      </c>
      <c r="BZ61">
        <f t="shared" si="44"/>
        <v>21.5</v>
      </c>
      <c r="CA61" s="5">
        <v>280.39</v>
      </c>
      <c r="CB61" s="5">
        <v>135.83000000000001</v>
      </c>
      <c r="CC61" s="5">
        <v>282.3</v>
      </c>
      <c r="CD61" s="5">
        <v>132.91</v>
      </c>
      <c r="CE61" s="5">
        <v>288.72000000000003</v>
      </c>
      <c r="CF61" s="5">
        <v>135.91999999999999</v>
      </c>
      <c r="CG61" s="5">
        <v>284.89999999999998</v>
      </c>
      <c r="CH61" s="5">
        <v>128.71</v>
      </c>
      <c r="CI61" s="5">
        <v>289.12</v>
      </c>
      <c r="CJ61" s="5">
        <v>128.01</v>
      </c>
      <c r="CM61" s="13" t="s">
        <v>92</v>
      </c>
      <c r="CN61" s="20">
        <v>38.922789999999999</v>
      </c>
      <c r="CO61" s="20">
        <v>-77.006370000000004</v>
      </c>
      <c r="CP61" s="19">
        <v>0.33399999999999996</v>
      </c>
      <c r="CQ61" s="19">
        <v>0.36</v>
      </c>
      <c r="CR61" s="19">
        <v>0.33600000000000002</v>
      </c>
      <c r="CS61" s="19">
        <v>0.31900000000000006</v>
      </c>
      <c r="CT61" s="98">
        <v>279.81666666666666</v>
      </c>
      <c r="CU61" s="98">
        <v>297.03888888888895</v>
      </c>
      <c r="CV61" s="98">
        <v>302.03888888888895</v>
      </c>
      <c r="CW61" s="98">
        <v>285.92777777777781</v>
      </c>
      <c r="CX61" s="104">
        <v>5</v>
      </c>
      <c r="CY61" s="104">
        <v>6</v>
      </c>
      <c r="CZ61" s="104">
        <v>7</v>
      </c>
      <c r="DA61" s="104">
        <v>8</v>
      </c>
      <c r="DB61" s="104">
        <v>2</v>
      </c>
      <c r="DG61">
        <f t="shared" si="32"/>
        <v>22</v>
      </c>
      <c r="DH61" s="5">
        <f t="shared" ca="1" si="33"/>
        <v>861.07</v>
      </c>
      <c r="DI61" s="5">
        <f t="shared" ca="1" si="34"/>
        <v>756.44</v>
      </c>
      <c r="DJ61" s="5">
        <f t="shared" ca="1" si="35"/>
        <v>748.36426628342656</v>
      </c>
      <c r="DK61" s="5">
        <f t="shared" ca="1" si="36"/>
        <v>850.67876652679922</v>
      </c>
      <c r="DL61" s="5">
        <f t="shared" ca="1" si="4"/>
        <v>64.593333333333348</v>
      </c>
      <c r="DM61" s="5">
        <f t="shared" ca="1" si="5"/>
        <v>64.190666666666658</v>
      </c>
      <c r="DN61" s="5">
        <f t="shared" ca="1" si="6"/>
        <v>63.547333333333334</v>
      </c>
      <c r="DO61" s="5">
        <f t="shared" ca="1" si="7"/>
        <v>63.81600000000001</v>
      </c>
      <c r="DP61" s="5">
        <f t="shared" ca="1" si="8"/>
        <v>29.024000000000001</v>
      </c>
      <c r="DQ61" s="5">
        <f t="shared" ca="1" si="9"/>
        <v>26.745999999999999</v>
      </c>
      <c r="DR61" s="5">
        <f t="shared" ca="1" si="10"/>
        <v>26.464000000000002</v>
      </c>
      <c r="DS61" s="5">
        <f t="shared" ca="1" si="11"/>
        <v>28.673999999999999</v>
      </c>
      <c r="DU61">
        <f t="shared" si="37"/>
        <v>22</v>
      </c>
      <c r="DV61" s="5">
        <v>969.52</v>
      </c>
      <c r="DW61" s="5">
        <v>926.2485599043315</v>
      </c>
      <c r="DX61" s="5">
        <v>916.36412104505746</v>
      </c>
      <c r="DY61" s="5">
        <v>957.81784624115778</v>
      </c>
      <c r="DZ61" s="5">
        <v>861.07</v>
      </c>
      <c r="EA61" s="5">
        <v>756.44</v>
      </c>
      <c r="EB61" s="5">
        <v>748.36426628342656</v>
      </c>
      <c r="EC61" s="5">
        <v>850.67876652679922</v>
      </c>
      <c r="EE61">
        <f t="shared" si="38"/>
        <v>22</v>
      </c>
      <c r="EF61" s="5">
        <v>36.645333333333333</v>
      </c>
      <c r="EG61" s="5">
        <v>35.008666666666663</v>
      </c>
      <c r="EH61" s="5">
        <v>34.636000000000003</v>
      </c>
      <c r="EI61" s="5">
        <v>36.20066666666667</v>
      </c>
      <c r="EJ61" s="5">
        <v>64.593333333333348</v>
      </c>
      <c r="EK61" s="5">
        <v>64.190666666666658</v>
      </c>
      <c r="EL61" s="5">
        <v>63.547333333333334</v>
      </c>
      <c r="EM61" s="5">
        <v>63.81600000000001</v>
      </c>
      <c r="EO61">
        <f t="shared" si="39"/>
        <v>22</v>
      </c>
      <c r="EP61" s="5">
        <v>28.92</v>
      </c>
      <c r="EQ61" s="5">
        <v>27.631999999999998</v>
      </c>
      <c r="ER61" s="5">
        <v>27.34</v>
      </c>
      <c r="ES61" s="5">
        <v>28.572000000000003</v>
      </c>
      <c r="ET61" s="5">
        <v>29.024000000000001</v>
      </c>
      <c r="EU61" s="5">
        <v>26.745999999999999</v>
      </c>
      <c r="EV61" s="5">
        <v>26.464000000000002</v>
      </c>
      <c r="EW61" s="5">
        <v>28.673999999999999</v>
      </c>
    </row>
    <row r="62" spans="1:153">
      <c r="A62" s="167" t="s">
        <v>588</v>
      </c>
      <c r="B62" s="167" t="s">
        <v>596</v>
      </c>
      <c r="C62" t="s">
        <v>531</v>
      </c>
      <c r="D62" s="108">
        <f>IF(VLOOKUP($D$6,$CM$39:$DB$227,16,FALSE)=1,EZ40,FB40)</f>
        <v>0.48199999999999998</v>
      </c>
      <c r="F62" t="s">
        <v>528</v>
      </c>
      <c r="I62">
        <f t="shared" si="40"/>
        <v>22.5</v>
      </c>
      <c r="J62" s="5">
        <f t="shared" ca="1" si="12"/>
        <v>319.92</v>
      </c>
      <c r="K62" s="5">
        <f t="shared" ca="1" si="13"/>
        <v>147.38999999999999</v>
      </c>
      <c r="L62" s="5">
        <f t="shared" ca="1" si="14"/>
        <v>341.61</v>
      </c>
      <c r="M62" s="5">
        <f t="shared" ca="1" si="15"/>
        <v>117.69</v>
      </c>
      <c r="N62" s="5">
        <f t="shared" ca="1" si="16"/>
        <v>339.23</v>
      </c>
      <c r="O62" s="5">
        <f t="shared" ca="1" si="17"/>
        <v>117</v>
      </c>
      <c r="P62" s="5">
        <f t="shared" ca="1" si="18"/>
        <v>333.31</v>
      </c>
      <c r="Q62" s="5">
        <f t="shared" ca="1" si="19"/>
        <v>149.49</v>
      </c>
      <c r="S62">
        <f t="shared" ca="1" si="20"/>
        <v>-0.8423583509352216</v>
      </c>
      <c r="T62">
        <f t="shared" ca="1" si="21"/>
        <v>0.53891781248135973</v>
      </c>
      <c r="U62">
        <f t="shared" ca="1" si="22"/>
        <v>5.5836573429802598</v>
      </c>
      <c r="V62">
        <f t="shared" ca="1" si="23"/>
        <v>-0.46468750830599914</v>
      </c>
      <c r="W62">
        <f t="shared" ca="1" si="24"/>
        <v>0.88547474251068392</v>
      </c>
      <c r="X62">
        <f t="shared" ca="1" si="25"/>
        <v>5.9622192577378286</v>
      </c>
      <c r="Y62">
        <f t="shared" ca="1" si="26"/>
        <v>-0.45399049973954669</v>
      </c>
      <c r="Z62">
        <f t="shared" ca="1" si="27"/>
        <v>0.8910065241883679</v>
      </c>
      <c r="AA62">
        <f t="shared" ca="1" si="28"/>
        <v>5.9206804215403643</v>
      </c>
      <c r="AB62">
        <f t="shared" ca="1" si="29"/>
        <v>-0.86154056516347455</v>
      </c>
      <c r="AC62">
        <f t="shared" ca="1" si="30"/>
        <v>0.50768873788749824</v>
      </c>
      <c r="AD62">
        <f t="shared" ca="1" si="31"/>
        <v>5.8173569298223002</v>
      </c>
      <c r="AO62">
        <f t="shared" si="41"/>
        <v>22.5</v>
      </c>
      <c r="AP62" s="5">
        <v>281.68</v>
      </c>
      <c r="AQ62" s="5">
        <v>149.55000000000001</v>
      </c>
      <c r="AR62" s="5">
        <v>287.66000000000003</v>
      </c>
      <c r="AS62" s="5">
        <v>147.13</v>
      </c>
      <c r="AT62" s="5">
        <v>295.31</v>
      </c>
      <c r="AU62" s="5">
        <v>145.6</v>
      </c>
      <c r="AV62" s="5">
        <v>298.87</v>
      </c>
      <c r="AW62" s="5">
        <v>142.28</v>
      </c>
      <c r="AX62" s="5">
        <v>307</v>
      </c>
      <c r="AY62" s="5">
        <v>143.33000000000001</v>
      </c>
      <c r="AZ62" s="5">
        <v>319.92</v>
      </c>
      <c r="BA62" s="5">
        <v>147.38999999999999</v>
      </c>
      <c r="BB62">
        <f t="shared" ref="BB62" si="65">BB61+1</f>
        <v>22.5</v>
      </c>
      <c r="BC62" s="5">
        <v>280.41000000000003</v>
      </c>
      <c r="BD62" s="5">
        <v>147.46</v>
      </c>
      <c r="BE62" s="5">
        <v>293.97000000000003</v>
      </c>
      <c r="BF62" s="5">
        <v>152.57</v>
      </c>
      <c r="BG62" s="5">
        <v>296.48</v>
      </c>
      <c r="BH62" s="5">
        <v>145.53</v>
      </c>
      <c r="BI62" s="5">
        <v>301.27999999999997</v>
      </c>
      <c r="BJ62" s="5">
        <v>142.72</v>
      </c>
      <c r="BK62" s="5">
        <v>309.93</v>
      </c>
      <c r="BL62" s="5">
        <v>142.34</v>
      </c>
      <c r="BM62" s="5">
        <v>305.99</v>
      </c>
      <c r="BN62" s="5">
        <v>137.38</v>
      </c>
      <c r="BO62">
        <f t="shared" si="43"/>
        <v>22.5</v>
      </c>
      <c r="BP62" s="5">
        <v>291.13</v>
      </c>
      <c r="BQ62" s="5">
        <v>147.15</v>
      </c>
      <c r="BR62" s="5">
        <v>301.89</v>
      </c>
      <c r="BS62" s="5">
        <v>149.27000000000001</v>
      </c>
      <c r="BT62" s="5">
        <v>303.05</v>
      </c>
      <c r="BU62" s="5">
        <v>145.69999999999999</v>
      </c>
      <c r="BV62" s="5">
        <v>307.14999999999998</v>
      </c>
      <c r="BW62" s="5">
        <v>143.47</v>
      </c>
      <c r="BX62" s="5">
        <v>308.52999999999997</v>
      </c>
      <c r="BY62" s="5">
        <v>138.91999999999999</v>
      </c>
      <c r="BZ62">
        <f t="shared" si="44"/>
        <v>22.5</v>
      </c>
      <c r="CA62" s="5">
        <v>302.54000000000002</v>
      </c>
      <c r="CB62" s="5">
        <v>153.41</v>
      </c>
      <c r="CC62" s="5">
        <v>304.92</v>
      </c>
      <c r="CD62" s="5">
        <v>149.44</v>
      </c>
      <c r="CE62" s="5">
        <v>315.66000000000003</v>
      </c>
      <c r="CF62" s="5">
        <v>150.75</v>
      </c>
      <c r="CG62" s="5">
        <v>308.05</v>
      </c>
      <c r="CH62" s="5">
        <v>143.38999999999999</v>
      </c>
      <c r="CI62" s="5">
        <v>313.64999999999998</v>
      </c>
      <c r="CJ62" s="5">
        <v>141.07</v>
      </c>
      <c r="CM62" s="13" t="s">
        <v>93</v>
      </c>
      <c r="CN62" s="20">
        <v>29.72364</v>
      </c>
      <c r="CO62" s="20">
        <v>-84.983149999999995</v>
      </c>
      <c r="CP62" s="19">
        <v>0.29000000000000004</v>
      </c>
      <c r="CQ62" s="19">
        <v>0.28399999999999997</v>
      </c>
      <c r="CR62" s="19">
        <v>0.40599999999999992</v>
      </c>
      <c r="CS62" s="19">
        <v>0.27699999999999997</v>
      </c>
      <c r="CT62" s="98">
        <v>291.48333333333335</v>
      </c>
      <c r="CU62" s="98">
        <v>301.48333333333335</v>
      </c>
      <c r="CV62" s="98">
        <v>304.81666666666672</v>
      </c>
      <c r="CW62" s="98">
        <v>295.37222222222226</v>
      </c>
      <c r="CX62" s="104">
        <v>5</v>
      </c>
      <c r="CY62" s="104">
        <v>6</v>
      </c>
      <c r="CZ62" s="104">
        <v>7</v>
      </c>
      <c r="DA62" s="104">
        <v>8</v>
      </c>
      <c r="DB62" s="104">
        <v>2</v>
      </c>
      <c r="DG62">
        <f t="shared" si="32"/>
        <v>23</v>
      </c>
      <c r="DH62" s="5">
        <f t="shared" ca="1" si="33"/>
        <v>858.81</v>
      </c>
      <c r="DI62" s="5">
        <f t="shared" ca="1" si="34"/>
        <v>754.19</v>
      </c>
      <c r="DJ62" s="5">
        <f t="shared" ca="1" si="35"/>
        <v>746.13828722476012</v>
      </c>
      <c r="DK62" s="5">
        <f t="shared" ca="1" si="36"/>
        <v>848.4460397887284</v>
      </c>
      <c r="DL62" s="5">
        <f t="shared" ca="1" si="4"/>
        <v>63.466666666666683</v>
      </c>
      <c r="DM62" s="5">
        <f t="shared" ca="1" si="5"/>
        <v>63.050999999999988</v>
      </c>
      <c r="DN62" s="5">
        <f t="shared" ca="1" si="6"/>
        <v>62.441000000000003</v>
      </c>
      <c r="DO62" s="5">
        <f t="shared" ca="1" si="7"/>
        <v>62.702333333333343</v>
      </c>
      <c r="DP62" s="5">
        <f t="shared" ca="1" si="8"/>
        <v>28.586000000000002</v>
      </c>
      <c r="DQ62" s="5">
        <f t="shared" ca="1" si="9"/>
        <v>26.343999999999998</v>
      </c>
      <c r="DR62" s="5">
        <f t="shared" ca="1" si="10"/>
        <v>26.066000000000003</v>
      </c>
      <c r="DS62" s="5">
        <f t="shared" ca="1" si="11"/>
        <v>28.241</v>
      </c>
      <c r="DU62">
        <f t="shared" si="37"/>
        <v>23</v>
      </c>
      <c r="DV62" s="5">
        <v>967.83</v>
      </c>
      <c r="DW62" s="5">
        <v>924.63398767659169</v>
      </c>
      <c r="DX62" s="5">
        <v>914.76677868536797</v>
      </c>
      <c r="DY62" s="5">
        <v>956.14824462371041</v>
      </c>
      <c r="DZ62" s="5">
        <v>858.81</v>
      </c>
      <c r="EA62" s="5">
        <v>754.19</v>
      </c>
      <c r="EB62" s="5">
        <v>746.13828722476012</v>
      </c>
      <c r="EC62" s="5">
        <v>848.4460397887284</v>
      </c>
      <c r="EE62">
        <f t="shared" si="38"/>
        <v>23</v>
      </c>
      <c r="EF62" s="5">
        <v>36.063000000000002</v>
      </c>
      <c r="EG62" s="5">
        <v>34.452999999999996</v>
      </c>
      <c r="EH62" s="5">
        <v>34.085666666666668</v>
      </c>
      <c r="EI62" s="5">
        <v>35.626000000000005</v>
      </c>
      <c r="EJ62" s="5">
        <v>63.466666666666683</v>
      </c>
      <c r="EK62" s="5">
        <v>63.050999999999988</v>
      </c>
      <c r="EL62" s="5">
        <v>62.441000000000003</v>
      </c>
      <c r="EM62" s="5">
        <v>62.702333333333343</v>
      </c>
      <c r="EO62">
        <f t="shared" si="39"/>
        <v>23</v>
      </c>
      <c r="EP62" s="5">
        <v>28.485000000000003</v>
      </c>
      <c r="EQ62" s="5">
        <v>27.217999999999996</v>
      </c>
      <c r="ER62" s="5">
        <v>26.93</v>
      </c>
      <c r="ES62" s="5">
        <v>28.143000000000004</v>
      </c>
      <c r="ET62" s="5">
        <v>28.586000000000002</v>
      </c>
      <c r="EU62" s="5">
        <v>26.343999999999998</v>
      </c>
      <c r="EV62" s="5">
        <v>26.066000000000003</v>
      </c>
      <c r="EW62" s="5">
        <v>28.241</v>
      </c>
    </row>
    <row r="63" spans="1:153">
      <c r="A63" s="167" t="s">
        <v>588</v>
      </c>
      <c r="B63" s="167" t="s">
        <v>596</v>
      </c>
      <c r="C63" t="s">
        <v>532</v>
      </c>
      <c r="D63" s="108">
        <f>IF(VLOOKUP($D$6,$CM$39:$DB$227,16,FALSE)=1,EZ40,FA40)</f>
        <v>0.58399999999999996</v>
      </c>
      <c r="F63" t="s">
        <v>528</v>
      </c>
      <c r="I63">
        <f t="shared" si="40"/>
        <v>23.5</v>
      </c>
      <c r="J63" s="5">
        <f t="shared" ca="1" si="12"/>
        <v>347.06</v>
      </c>
      <c r="K63" s="5">
        <f t="shared" ca="1" si="13"/>
        <v>152.16</v>
      </c>
      <c r="L63" s="5">
        <f t="shared" ca="1" si="14"/>
        <v>357.86</v>
      </c>
      <c r="M63" s="5">
        <f t="shared" ca="1" si="15"/>
        <v>119.65</v>
      </c>
      <c r="N63" s="5">
        <f t="shared" ca="1" si="16"/>
        <v>355.29</v>
      </c>
      <c r="O63" s="5">
        <f t="shared" ca="1" si="17"/>
        <v>119.38</v>
      </c>
      <c r="P63" s="5">
        <f t="shared" ca="1" si="18"/>
        <v>2.7</v>
      </c>
      <c r="Q63" s="5">
        <f t="shared" ca="1" si="19"/>
        <v>151.81</v>
      </c>
      <c r="S63">
        <f t="shared" ca="1" si="20"/>
        <v>-0.88425516037607232</v>
      </c>
      <c r="T63">
        <f t="shared" ca="1" si="21"/>
        <v>0.46700408065485538</v>
      </c>
      <c r="U63">
        <f t="shared" ca="1" si="22"/>
        <v>6.0573397019715207</v>
      </c>
      <c r="V63">
        <f t="shared" ca="1" si="23"/>
        <v>-0.49470045587627798</v>
      </c>
      <c r="W63">
        <f t="shared" ca="1" si="24"/>
        <v>0.86906355288655546</v>
      </c>
      <c r="X63">
        <f t="shared" ca="1" si="25"/>
        <v>6.2458352611869081</v>
      </c>
      <c r="Y63">
        <f t="shared" ca="1" si="26"/>
        <v>-0.49059961272389174</v>
      </c>
      <c r="Z63">
        <f t="shared" ca="1" si="27"/>
        <v>0.87138511577554933</v>
      </c>
      <c r="AA63">
        <f t="shared" ca="1" si="28"/>
        <v>6.2009802994106531</v>
      </c>
      <c r="AB63">
        <f t="shared" ca="1" si="29"/>
        <v>-0.88138591430885216</v>
      </c>
      <c r="AC63">
        <f t="shared" ca="1" si="30"/>
        <v>0.47239694120299808</v>
      </c>
      <c r="AD63">
        <f t="shared" ca="1" si="31"/>
        <v>4.7123889803846894E-2</v>
      </c>
      <c r="AO63">
        <f t="shared" si="41"/>
        <v>23.5</v>
      </c>
      <c r="AP63" s="5">
        <v>298.75</v>
      </c>
      <c r="AQ63" s="5">
        <v>162.25</v>
      </c>
      <c r="AR63" s="5">
        <v>306.95999999999998</v>
      </c>
      <c r="AS63" s="5">
        <v>158.68</v>
      </c>
      <c r="AT63" s="5">
        <v>317.12</v>
      </c>
      <c r="AU63" s="5">
        <v>155.91999999999999</v>
      </c>
      <c r="AV63" s="5">
        <v>319.69</v>
      </c>
      <c r="AW63" s="5">
        <v>151.13</v>
      </c>
      <c r="AX63" s="5">
        <v>329.96</v>
      </c>
      <c r="AY63" s="5">
        <v>150.65</v>
      </c>
      <c r="AZ63" s="5">
        <v>347.06</v>
      </c>
      <c r="BA63" s="5">
        <v>152.16</v>
      </c>
      <c r="BB63">
        <f t="shared" ref="BB63" si="66">BB62+1</f>
        <v>23.5</v>
      </c>
      <c r="BC63" s="5">
        <v>295.58</v>
      </c>
      <c r="BD63" s="5">
        <v>160.33000000000001</v>
      </c>
      <c r="BE63" s="5">
        <v>321.07</v>
      </c>
      <c r="BF63" s="5">
        <v>163.02000000000001</v>
      </c>
      <c r="BG63" s="5">
        <v>318.37</v>
      </c>
      <c r="BH63" s="5">
        <v>155.27000000000001</v>
      </c>
      <c r="BI63" s="5">
        <v>322.87</v>
      </c>
      <c r="BJ63" s="5">
        <v>151.19999999999999</v>
      </c>
      <c r="BK63" s="5">
        <v>332.75</v>
      </c>
      <c r="BL63" s="5">
        <v>149</v>
      </c>
      <c r="BM63" s="5">
        <v>326.07</v>
      </c>
      <c r="BN63" s="5">
        <v>144.66999999999999</v>
      </c>
      <c r="BO63">
        <f t="shared" si="43"/>
        <v>23.5</v>
      </c>
      <c r="BP63" s="5">
        <v>312.04000000000002</v>
      </c>
      <c r="BQ63" s="5">
        <v>157.96</v>
      </c>
      <c r="BR63" s="5">
        <v>328.18</v>
      </c>
      <c r="BS63" s="5">
        <v>157.96</v>
      </c>
      <c r="BT63" s="5">
        <v>326.76</v>
      </c>
      <c r="BU63" s="5">
        <v>154.02000000000001</v>
      </c>
      <c r="BV63" s="5">
        <v>330.19</v>
      </c>
      <c r="BW63" s="5">
        <v>150.69999999999999</v>
      </c>
      <c r="BX63" s="5">
        <v>329.6</v>
      </c>
      <c r="BY63" s="5">
        <v>145.75</v>
      </c>
      <c r="BZ63">
        <f t="shared" si="44"/>
        <v>23.5</v>
      </c>
      <c r="CA63" s="5">
        <v>333.97</v>
      </c>
      <c r="CB63" s="5">
        <v>161.9</v>
      </c>
      <c r="CC63" s="5">
        <v>332.11</v>
      </c>
      <c r="CD63" s="5">
        <v>157.53</v>
      </c>
      <c r="CE63" s="5">
        <v>345.82</v>
      </c>
      <c r="CF63" s="5">
        <v>156.54</v>
      </c>
      <c r="CG63" s="5">
        <v>331.21</v>
      </c>
      <c r="CH63" s="5">
        <v>150.44</v>
      </c>
      <c r="CI63" s="5">
        <v>336.18</v>
      </c>
      <c r="CJ63" s="5">
        <v>146.91</v>
      </c>
      <c r="CM63" s="17" t="s">
        <v>94</v>
      </c>
      <c r="CN63" s="20">
        <v>30.355360000000001</v>
      </c>
      <c r="CO63" s="20">
        <v>-81.669420000000002</v>
      </c>
      <c r="CP63" s="19">
        <v>0.27</v>
      </c>
      <c r="CQ63" s="19">
        <v>0.315</v>
      </c>
      <c r="CR63" s="19">
        <v>0.41999999999999993</v>
      </c>
      <c r="CS63" s="19">
        <v>0.32400000000000001</v>
      </c>
      <c r="CT63" s="98">
        <v>293.70555555555558</v>
      </c>
      <c r="CU63" s="98">
        <v>303.70555555555558</v>
      </c>
      <c r="CV63" s="98">
        <v>306.48333333333335</v>
      </c>
      <c r="CW63" s="98">
        <v>296.48333333333335</v>
      </c>
      <c r="CX63" s="104">
        <v>5</v>
      </c>
      <c r="CY63" s="104">
        <v>6</v>
      </c>
      <c r="CZ63" s="104">
        <v>7</v>
      </c>
      <c r="DA63" s="104">
        <v>8</v>
      </c>
      <c r="DB63" s="104">
        <v>2</v>
      </c>
      <c r="DG63">
        <f t="shared" si="32"/>
        <v>24</v>
      </c>
      <c r="DH63" s="5">
        <f t="shared" ca="1" si="33"/>
        <v>856.44</v>
      </c>
      <c r="DI63" s="5">
        <f t="shared" ca="1" si="34"/>
        <v>751.86</v>
      </c>
      <c r="DJ63" s="5">
        <f t="shared" ca="1" si="35"/>
        <v>743.83316224400755</v>
      </c>
      <c r="DK63" s="5">
        <f t="shared" ca="1" si="36"/>
        <v>846.1046405103092</v>
      </c>
      <c r="DL63" s="5">
        <f t="shared" ca="1" si="4"/>
        <v>62.340000000000018</v>
      </c>
      <c r="DM63" s="5">
        <f t="shared" ca="1" si="5"/>
        <v>61.911333333333317</v>
      </c>
      <c r="DN63" s="5">
        <f t="shared" ca="1" si="6"/>
        <v>61.334666666666671</v>
      </c>
      <c r="DO63" s="5">
        <f t="shared" ca="1" si="7"/>
        <v>61.588666666666676</v>
      </c>
      <c r="DP63" s="5">
        <f t="shared" ca="1" si="8"/>
        <v>28.148000000000003</v>
      </c>
      <c r="DQ63" s="5">
        <f t="shared" ca="1" si="9"/>
        <v>25.941999999999997</v>
      </c>
      <c r="DR63" s="5">
        <f t="shared" ca="1" si="10"/>
        <v>25.668000000000003</v>
      </c>
      <c r="DS63" s="5">
        <f t="shared" ca="1" si="11"/>
        <v>27.808</v>
      </c>
      <c r="DU63">
        <f t="shared" si="37"/>
        <v>24</v>
      </c>
      <c r="DV63" s="5">
        <v>966.06</v>
      </c>
      <c r="DW63" s="5">
        <v>922.94298599428419</v>
      </c>
      <c r="DX63" s="5">
        <v>913.09382248616657</v>
      </c>
      <c r="DY63" s="5">
        <v>954.39960861017084</v>
      </c>
      <c r="DZ63" s="5">
        <v>856.44</v>
      </c>
      <c r="EA63" s="5">
        <v>751.86</v>
      </c>
      <c r="EB63" s="5">
        <v>743.83316224400755</v>
      </c>
      <c r="EC63" s="5">
        <v>846.1046405103092</v>
      </c>
      <c r="EE63">
        <f t="shared" si="38"/>
        <v>24</v>
      </c>
      <c r="EF63" s="5">
        <v>35.480666666666671</v>
      </c>
      <c r="EG63" s="5">
        <v>33.897333333333329</v>
      </c>
      <c r="EH63" s="5">
        <v>33.535333333333334</v>
      </c>
      <c r="EI63" s="5">
        <v>35.051333333333339</v>
      </c>
      <c r="EJ63" s="5">
        <v>62.340000000000018</v>
      </c>
      <c r="EK63" s="5">
        <v>61.911333333333317</v>
      </c>
      <c r="EL63" s="5">
        <v>61.334666666666671</v>
      </c>
      <c r="EM63" s="5">
        <v>61.588666666666676</v>
      </c>
      <c r="EO63">
        <f t="shared" si="39"/>
        <v>24</v>
      </c>
      <c r="EP63" s="5">
        <v>28.050000000000004</v>
      </c>
      <c r="EQ63" s="5">
        <v>26.803999999999995</v>
      </c>
      <c r="ER63" s="5">
        <v>26.52</v>
      </c>
      <c r="ES63" s="5">
        <v>27.714000000000006</v>
      </c>
      <c r="ET63" s="5">
        <v>28.148000000000003</v>
      </c>
      <c r="EU63" s="5">
        <v>25.941999999999997</v>
      </c>
      <c r="EV63" s="5">
        <v>25.668000000000003</v>
      </c>
      <c r="EW63" s="5">
        <v>27.808</v>
      </c>
    </row>
    <row r="64" spans="1:153">
      <c r="CM64" s="13" t="s">
        <v>95</v>
      </c>
      <c r="CN64" s="20">
        <v>24.552309999999999</v>
      </c>
      <c r="CO64" s="20">
        <v>-81.776750000000007</v>
      </c>
      <c r="CP64" s="19">
        <v>0.16299999999999998</v>
      </c>
      <c r="CQ64" s="19">
        <v>0.27999999999999997</v>
      </c>
      <c r="CR64" s="19">
        <v>0.40999999999999992</v>
      </c>
      <c r="CS64" s="19">
        <v>0.28499999999999998</v>
      </c>
      <c r="CT64" s="98">
        <v>297.59444444444449</v>
      </c>
      <c r="CU64" s="98">
        <v>302.59444444444449</v>
      </c>
      <c r="CV64" s="98">
        <v>304.81666666666672</v>
      </c>
      <c r="CW64" s="98">
        <v>299.81666666666672</v>
      </c>
      <c r="CX64" s="104">
        <v>5</v>
      </c>
      <c r="CY64" s="104">
        <v>6</v>
      </c>
      <c r="CZ64" s="104">
        <v>7</v>
      </c>
      <c r="DA64" s="104">
        <v>8</v>
      </c>
      <c r="DB64" s="104">
        <v>2</v>
      </c>
      <c r="DG64">
        <f t="shared" si="32"/>
        <v>25</v>
      </c>
      <c r="DH64" s="5">
        <f t="shared" ca="1" si="33"/>
        <v>853.91</v>
      </c>
      <c r="DI64" s="5">
        <f t="shared" ca="1" si="34"/>
        <v>749.38</v>
      </c>
      <c r="DJ64" s="5">
        <f t="shared" ca="1" si="35"/>
        <v>741.37963865934398</v>
      </c>
      <c r="DK64" s="5">
        <f t="shared" ca="1" si="36"/>
        <v>843.60517208229192</v>
      </c>
      <c r="DL64" s="5">
        <f t="shared" ca="1" si="4"/>
        <v>61.213333333333352</v>
      </c>
      <c r="DM64" s="5">
        <f t="shared" ca="1" si="5"/>
        <v>60.771666666666647</v>
      </c>
      <c r="DN64" s="5">
        <f t="shared" ca="1" si="6"/>
        <v>60.228333333333339</v>
      </c>
      <c r="DO64" s="5">
        <f t="shared" ca="1" si="7"/>
        <v>60.475000000000009</v>
      </c>
      <c r="DP64" s="5">
        <f t="shared" ca="1" si="8"/>
        <v>27.710000000000004</v>
      </c>
      <c r="DQ64" s="5">
        <f t="shared" ca="1" si="9"/>
        <v>25.539999999999996</v>
      </c>
      <c r="DR64" s="5">
        <f t="shared" ca="1" si="10"/>
        <v>25.270000000000003</v>
      </c>
      <c r="DS64" s="5">
        <f t="shared" ca="1" si="11"/>
        <v>27.375</v>
      </c>
      <c r="DU64">
        <f t="shared" si="37"/>
        <v>25</v>
      </c>
      <c r="DV64" s="5">
        <v>964.18</v>
      </c>
      <c r="DW64" s="5">
        <v>921.14689381194637</v>
      </c>
      <c r="DX64" s="5">
        <v>911.31689725763624</v>
      </c>
      <c r="DY64" s="5">
        <v>952.54230030200461</v>
      </c>
      <c r="DZ64" s="5">
        <v>853.91</v>
      </c>
      <c r="EA64" s="5">
        <v>749.38</v>
      </c>
      <c r="EB64" s="5">
        <v>741.37963865934398</v>
      </c>
      <c r="EC64" s="5">
        <v>843.60517208229192</v>
      </c>
      <c r="EE64">
        <f t="shared" si="38"/>
        <v>25</v>
      </c>
      <c r="EF64" s="5">
        <v>34.898333333333341</v>
      </c>
      <c r="EG64" s="5">
        <v>33.341666666666661</v>
      </c>
      <c r="EH64" s="5">
        <v>32.984999999999999</v>
      </c>
      <c r="EI64" s="5">
        <v>34.476666666666674</v>
      </c>
      <c r="EJ64" s="5">
        <v>61.213333333333352</v>
      </c>
      <c r="EK64" s="5">
        <v>60.771666666666647</v>
      </c>
      <c r="EL64" s="5">
        <v>60.228333333333339</v>
      </c>
      <c r="EM64" s="5">
        <v>60.475000000000009</v>
      </c>
      <c r="EO64">
        <f t="shared" si="39"/>
        <v>25</v>
      </c>
      <c r="EP64" s="5">
        <v>27.615000000000006</v>
      </c>
      <c r="EQ64" s="5">
        <v>26.389999999999993</v>
      </c>
      <c r="ER64" s="5">
        <v>26.11</v>
      </c>
      <c r="ES64" s="5">
        <v>27.285000000000007</v>
      </c>
      <c r="ET64" s="5">
        <v>27.710000000000004</v>
      </c>
      <c r="EU64" s="5">
        <v>25.539999999999996</v>
      </c>
      <c r="EV64" s="5">
        <v>25.270000000000003</v>
      </c>
      <c r="EW64" s="5">
        <v>27.375</v>
      </c>
    </row>
    <row r="65" spans="1:153">
      <c r="CM65" s="17" t="s">
        <v>96</v>
      </c>
      <c r="CN65" s="20">
        <v>25.770309999999998</v>
      </c>
      <c r="CO65" s="20">
        <v>-80.206869999999995</v>
      </c>
      <c r="CP65" s="19">
        <v>0.249</v>
      </c>
      <c r="CQ65" s="19">
        <v>0.38099999999999995</v>
      </c>
      <c r="CR65" s="19">
        <v>0.47499999999999998</v>
      </c>
      <c r="CS65" s="19">
        <v>0.35700000000000004</v>
      </c>
      <c r="CT65" s="98">
        <v>298.70555555555558</v>
      </c>
      <c r="CU65" s="98">
        <v>303.70555555555558</v>
      </c>
      <c r="CV65" s="98">
        <v>305.92777777777781</v>
      </c>
      <c r="CW65" s="98">
        <v>300.92777777777781</v>
      </c>
      <c r="CX65" s="104">
        <v>5</v>
      </c>
      <c r="CY65" s="104">
        <v>6</v>
      </c>
      <c r="CZ65" s="104">
        <v>7</v>
      </c>
      <c r="DA65" s="104">
        <v>8</v>
      </c>
      <c r="DB65" s="104">
        <v>2</v>
      </c>
      <c r="DG65">
        <f t="shared" si="32"/>
        <v>26</v>
      </c>
      <c r="DH65" s="5">
        <f t="shared" ca="1" si="33"/>
        <v>851.31</v>
      </c>
      <c r="DI65" s="5">
        <f t="shared" ca="1" si="34"/>
        <v>746.82</v>
      </c>
      <c r="DJ65" s="5">
        <f t="shared" ca="1" si="35"/>
        <v>738.84696915259451</v>
      </c>
      <c r="DK65" s="5">
        <f t="shared" ca="1" si="36"/>
        <v>841.03654840132549</v>
      </c>
      <c r="DL65" s="5">
        <f t="shared" ca="1" si="4"/>
        <v>60.086666666666687</v>
      </c>
      <c r="DM65" s="5">
        <f t="shared" ca="1" si="5"/>
        <v>59.631999999999977</v>
      </c>
      <c r="DN65" s="5">
        <f t="shared" ca="1" si="6"/>
        <v>59.122000000000007</v>
      </c>
      <c r="DO65" s="5">
        <f t="shared" ca="1" si="7"/>
        <v>59.361333333333341</v>
      </c>
      <c r="DP65" s="5">
        <f t="shared" ca="1" si="8"/>
        <v>27.272000000000006</v>
      </c>
      <c r="DQ65" s="5">
        <f t="shared" ca="1" si="9"/>
        <v>25.137999999999995</v>
      </c>
      <c r="DR65" s="5">
        <f t="shared" ca="1" si="10"/>
        <v>24.872000000000003</v>
      </c>
      <c r="DS65" s="5">
        <f t="shared" ca="1" si="11"/>
        <v>26.942</v>
      </c>
      <c r="DU65">
        <f t="shared" si="37"/>
        <v>26</v>
      </c>
      <c r="DV65" s="5">
        <v>962.22</v>
      </c>
      <c r="DW65" s="5">
        <v>919.27437217504109</v>
      </c>
      <c r="DX65" s="5">
        <v>909.46435818959401</v>
      </c>
      <c r="DY65" s="5">
        <v>950.60595759774617</v>
      </c>
      <c r="DZ65" s="5">
        <v>851.31</v>
      </c>
      <c r="EA65" s="5">
        <v>746.82</v>
      </c>
      <c r="EB65" s="5">
        <v>738.84696915259451</v>
      </c>
      <c r="EC65" s="5">
        <v>841.03654840132549</v>
      </c>
      <c r="EE65">
        <f t="shared" si="38"/>
        <v>26</v>
      </c>
      <c r="EF65" s="5">
        <v>34.31600000000001</v>
      </c>
      <c r="EG65" s="5">
        <v>32.785999999999994</v>
      </c>
      <c r="EH65" s="5">
        <v>32.434666666666665</v>
      </c>
      <c r="EI65" s="5">
        <v>33.902000000000008</v>
      </c>
      <c r="EJ65" s="5">
        <v>60.086666666666687</v>
      </c>
      <c r="EK65" s="5">
        <v>59.631999999999977</v>
      </c>
      <c r="EL65" s="5">
        <v>59.122000000000007</v>
      </c>
      <c r="EM65" s="5">
        <v>59.361333333333341</v>
      </c>
      <c r="EO65">
        <f t="shared" si="39"/>
        <v>26</v>
      </c>
      <c r="EP65" s="5">
        <v>27.180000000000007</v>
      </c>
      <c r="EQ65" s="5">
        <v>25.975999999999992</v>
      </c>
      <c r="ER65" s="5">
        <v>25.7</v>
      </c>
      <c r="ES65" s="5">
        <v>26.856000000000009</v>
      </c>
      <c r="ET65" s="5">
        <v>27.272000000000006</v>
      </c>
      <c r="EU65" s="5">
        <v>25.137999999999995</v>
      </c>
      <c r="EV65" s="5">
        <v>24.872000000000003</v>
      </c>
      <c r="EW65" s="5">
        <v>26.942</v>
      </c>
    </row>
    <row r="66" spans="1:153">
      <c r="P66" s="11"/>
      <c r="CM66" s="18" t="s">
        <v>97</v>
      </c>
      <c r="CN66" s="20">
        <v>30.4572</v>
      </c>
      <c r="CO66" s="20">
        <v>-87.191299999999998</v>
      </c>
      <c r="CP66" s="19">
        <v>0.30000000000000004</v>
      </c>
      <c r="CQ66" s="19">
        <v>0.29099999999999998</v>
      </c>
      <c r="CR66" s="19">
        <v>0.378</v>
      </c>
      <c r="CS66" s="19">
        <v>0.28199999999999997</v>
      </c>
      <c r="CT66" s="98">
        <v>290.92777777777781</v>
      </c>
      <c r="CU66" s="98">
        <v>301.48333333333335</v>
      </c>
      <c r="CV66" s="98">
        <v>304.81666666666672</v>
      </c>
      <c r="CW66" s="98">
        <v>294.26111111111112</v>
      </c>
      <c r="CX66" s="104">
        <v>5</v>
      </c>
      <c r="CY66" s="104">
        <v>6</v>
      </c>
      <c r="CZ66" s="104">
        <v>7</v>
      </c>
      <c r="DA66" s="104">
        <v>8</v>
      </c>
      <c r="DB66" s="104">
        <v>2</v>
      </c>
      <c r="DG66">
        <f t="shared" si="32"/>
        <v>27</v>
      </c>
      <c r="DH66" s="5">
        <f t="shared" ca="1" si="33"/>
        <v>848.59</v>
      </c>
      <c r="DI66" s="5">
        <f t="shared" ca="1" si="34"/>
        <v>744.13</v>
      </c>
      <c r="DJ66" s="5">
        <f t="shared" ca="1" si="35"/>
        <v>736.1856875224554</v>
      </c>
      <c r="DK66" s="5">
        <f t="shared" ca="1" si="36"/>
        <v>838.34937285816079</v>
      </c>
      <c r="DL66" s="5">
        <f t="shared" ca="1" si="4"/>
        <v>58.960000000000022</v>
      </c>
      <c r="DM66" s="5">
        <f t="shared" ca="1" si="5"/>
        <v>58.492333333333306</v>
      </c>
      <c r="DN66" s="5">
        <f t="shared" ca="1" si="6"/>
        <v>58.015666666666675</v>
      </c>
      <c r="DO66" s="5">
        <f t="shared" ca="1" si="7"/>
        <v>58.247666666666674</v>
      </c>
      <c r="DP66" s="5">
        <f t="shared" ca="1" si="8"/>
        <v>26.834000000000007</v>
      </c>
      <c r="DQ66" s="5">
        <f t="shared" ca="1" si="9"/>
        <v>24.735999999999994</v>
      </c>
      <c r="DR66" s="5">
        <f t="shared" ca="1" si="10"/>
        <v>24.474000000000004</v>
      </c>
      <c r="DS66" s="5">
        <f t="shared" ca="1" si="11"/>
        <v>26.509</v>
      </c>
      <c r="DU66">
        <f t="shared" si="37"/>
        <v>27</v>
      </c>
      <c r="DV66" s="5">
        <v>960.19</v>
      </c>
      <c r="DW66" s="5">
        <v>917.33497476538923</v>
      </c>
      <c r="DX66" s="5">
        <v>907.54565701197896</v>
      </c>
      <c r="DY66" s="5">
        <v>948.6004597969071</v>
      </c>
      <c r="DZ66" s="5">
        <v>848.59</v>
      </c>
      <c r="EA66" s="5">
        <v>744.13</v>
      </c>
      <c r="EB66" s="5">
        <v>736.1856875224554</v>
      </c>
      <c r="EC66" s="5">
        <v>838.34937285816079</v>
      </c>
      <c r="EE66">
        <f t="shared" si="38"/>
        <v>27</v>
      </c>
      <c r="EF66" s="5">
        <v>33.733666666666679</v>
      </c>
      <c r="EG66" s="5">
        <v>32.230333333333327</v>
      </c>
      <c r="EH66" s="5">
        <v>31.884333333333331</v>
      </c>
      <c r="EI66" s="5">
        <v>33.327333333333343</v>
      </c>
      <c r="EJ66" s="5">
        <v>58.960000000000022</v>
      </c>
      <c r="EK66" s="5">
        <v>58.492333333333306</v>
      </c>
      <c r="EL66" s="5">
        <v>58.015666666666675</v>
      </c>
      <c r="EM66" s="5">
        <v>58.247666666666674</v>
      </c>
      <c r="EO66">
        <f t="shared" si="39"/>
        <v>27</v>
      </c>
      <c r="EP66" s="5">
        <v>26.745000000000008</v>
      </c>
      <c r="EQ66" s="5">
        <v>25.561999999999991</v>
      </c>
      <c r="ER66" s="5">
        <v>25.29</v>
      </c>
      <c r="ES66" s="5">
        <v>26.42700000000001</v>
      </c>
      <c r="ET66" s="5">
        <v>26.834000000000007</v>
      </c>
      <c r="EU66" s="5">
        <v>24.735999999999994</v>
      </c>
      <c r="EV66" s="5">
        <v>24.474000000000004</v>
      </c>
      <c r="EW66" s="5">
        <v>26.509</v>
      </c>
    </row>
    <row r="67" spans="1:153">
      <c r="I67" s="56"/>
      <c r="J67" s="170" t="s">
        <v>429</v>
      </c>
      <c r="K67" s="170"/>
      <c r="L67" s="170"/>
      <c r="M67" s="170"/>
      <c r="N67" s="2"/>
      <c r="O67" s="2"/>
      <c r="P67" s="170" t="s">
        <v>446</v>
      </c>
      <c r="Q67" s="170"/>
      <c r="R67" s="170"/>
      <c r="S67" s="170"/>
      <c r="V67" s="170" t="s">
        <v>448</v>
      </c>
      <c r="W67" s="170"/>
      <c r="X67" s="170"/>
      <c r="Y67" s="170"/>
      <c r="AN67" s="2"/>
      <c r="AO67" s="170" t="s">
        <v>3</v>
      </c>
      <c r="AP67" s="170"/>
      <c r="AQ67" s="170"/>
      <c r="AR67" s="170"/>
      <c r="AS67" s="170"/>
      <c r="AT67" s="170"/>
      <c r="AU67" s="170"/>
      <c r="AV67" s="170"/>
      <c r="AW67" s="170"/>
      <c r="AX67" s="170"/>
      <c r="AY67" s="170"/>
      <c r="AZ67" s="170"/>
      <c r="BA67" s="170"/>
      <c r="BB67" s="170" t="s">
        <v>3</v>
      </c>
      <c r="BC67" s="170"/>
      <c r="BD67" s="170"/>
      <c r="BE67" s="170"/>
      <c r="BF67" s="170"/>
      <c r="BG67" s="170"/>
      <c r="BH67" s="170"/>
      <c r="BI67" s="170"/>
      <c r="BJ67" s="170"/>
      <c r="BK67" s="170"/>
      <c r="BL67" s="170"/>
      <c r="BM67" s="170"/>
      <c r="BN67" s="170"/>
      <c r="BO67" s="170" t="s">
        <v>3</v>
      </c>
      <c r="BP67" s="170"/>
      <c r="BQ67" s="170"/>
      <c r="BR67" s="170"/>
      <c r="BS67" s="170"/>
      <c r="BT67" s="170"/>
      <c r="BU67" s="170"/>
      <c r="BV67" s="170"/>
      <c r="BW67" s="170"/>
      <c r="BX67" s="170"/>
      <c r="BY67" s="170"/>
      <c r="BZ67" s="170" t="s">
        <v>3</v>
      </c>
      <c r="CA67" s="170"/>
      <c r="CB67" s="170"/>
      <c r="CC67" s="170"/>
      <c r="CD67" s="170"/>
      <c r="CE67" s="170"/>
      <c r="CF67" s="170"/>
      <c r="CG67" s="170"/>
      <c r="CH67" s="170"/>
      <c r="CI67" s="170"/>
      <c r="CJ67" s="170"/>
      <c r="CM67" s="13" t="s">
        <v>98</v>
      </c>
      <c r="CN67" s="20">
        <v>27.950030000000002</v>
      </c>
      <c r="CO67" s="20">
        <v>-82.485939999999999</v>
      </c>
      <c r="CP67" s="19">
        <v>0.24399999999999999</v>
      </c>
      <c r="CQ67" s="19">
        <v>0.30599999999999999</v>
      </c>
      <c r="CR67" s="19">
        <v>0.44499999999999995</v>
      </c>
      <c r="CS67" s="19">
        <v>0.29599999999999999</v>
      </c>
      <c r="CT67" s="98">
        <v>295.92777777777781</v>
      </c>
      <c r="CU67" s="98">
        <v>303.70555555555558</v>
      </c>
      <c r="CV67" s="98">
        <v>305.37222222222226</v>
      </c>
      <c r="CW67" s="98">
        <v>298.70555555555558</v>
      </c>
      <c r="CX67" s="104">
        <v>5</v>
      </c>
      <c r="CY67" s="104">
        <v>6</v>
      </c>
      <c r="CZ67" s="104">
        <v>7</v>
      </c>
      <c r="DA67" s="104">
        <v>8</v>
      </c>
      <c r="DB67" s="104">
        <v>2</v>
      </c>
      <c r="DG67">
        <f t="shared" si="32"/>
        <v>28</v>
      </c>
      <c r="DH67" s="5">
        <f t="shared" ca="1" si="33"/>
        <v>845.68</v>
      </c>
      <c r="DI67" s="5">
        <f t="shared" ca="1" si="34"/>
        <v>741.27</v>
      </c>
      <c r="DJ67" s="5">
        <f t="shared" ca="1" si="35"/>
        <v>733.35622080788369</v>
      </c>
      <c r="DK67" s="5">
        <f t="shared" ca="1" si="36"/>
        <v>835.47449019984845</v>
      </c>
      <c r="DL67" s="5">
        <f t="shared" ca="1" si="4"/>
        <v>57.833333333333357</v>
      </c>
      <c r="DM67" s="5">
        <f t="shared" ca="1" si="5"/>
        <v>57.352666666666636</v>
      </c>
      <c r="DN67" s="5">
        <f t="shared" ca="1" si="6"/>
        <v>56.909333333333343</v>
      </c>
      <c r="DO67" s="5">
        <f t="shared" ca="1" si="7"/>
        <v>57.134000000000007</v>
      </c>
      <c r="DP67" s="5">
        <f t="shared" ca="1" si="8"/>
        <v>26.396000000000008</v>
      </c>
      <c r="DQ67" s="5">
        <f t="shared" ca="1" si="9"/>
        <v>24.333999999999993</v>
      </c>
      <c r="DR67" s="5">
        <f t="shared" ca="1" si="10"/>
        <v>24.076000000000004</v>
      </c>
      <c r="DS67" s="5">
        <f t="shared" ca="1" si="11"/>
        <v>26.076000000000001</v>
      </c>
      <c r="DU67">
        <f t="shared" si="37"/>
        <v>28</v>
      </c>
      <c r="DV67" s="5">
        <v>958.02</v>
      </c>
      <c r="DW67" s="5">
        <v>915.26182581024375</v>
      </c>
      <c r="DX67" s="5">
        <v>905.49463161521771</v>
      </c>
      <c r="DY67" s="5">
        <v>946.45665180290655</v>
      </c>
      <c r="DZ67" s="5">
        <v>845.68</v>
      </c>
      <c r="EA67" s="5">
        <v>741.27</v>
      </c>
      <c r="EB67" s="5">
        <v>733.35622080788369</v>
      </c>
      <c r="EC67" s="5">
        <v>835.47449019984845</v>
      </c>
      <c r="EE67">
        <f t="shared" si="38"/>
        <v>28</v>
      </c>
      <c r="EF67" s="5">
        <v>33.151333333333348</v>
      </c>
      <c r="EG67" s="5">
        <v>31.67466666666666</v>
      </c>
      <c r="EH67" s="5">
        <v>31.333999999999996</v>
      </c>
      <c r="EI67" s="5">
        <v>32.752666666666677</v>
      </c>
      <c r="EJ67" s="5">
        <v>57.833333333333357</v>
      </c>
      <c r="EK67" s="5">
        <v>57.352666666666636</v>
      </c>
      <c r="EL67" s="5">
        <v>56.909333333333343</v>
      </c>
      <c r="EM67" s="5">
        <v>57.134000000000007</v>
      </c>
      <c r="EO67">
        <f t="shared" si="39"/>
        <v>28</v>
      </c>
      <c r="EP67" s="5">
        <v>26.310000000000009</v>
      </c>
      <c r="EQ67" s="5">
        <v>25.147999999999989</v>
      </c>
      <c r="ER67" s="5">
        <v>24.88</v>
      </c>
      <c r="ES67" s="5">
        <v>25.998000000000012</v>
      </c>
      <c r="ET67" s="5">
        <v>26.396000000000008</v>
      </c>
      <c r="EU67" s="5">
        <v>24.333999999999993</v>
      </c>
      <c r="EV67" s="5">
        <v>24.076000000000004</v>
      </c>
      <c r="EW67" s="5">
        <v>26.076000000000001</v>
      </c>
    </row>
    <row r="68" spans="1:153">
      <c r="I68" s="22" t="s">
        <v>2</v>
      </c>
      <c r="J68" s="22" t="s">
        <v>0</v>
      </c>
      <c r="K68" s="22" t="s">
        <v>3</v>
      </c>
      <c r="L68" s="22" t="s">
        <v>4</v>
      </c>
      <c r="M68" s="22" t="s">
        <v>5</v>
      </c>
      <c r="N68" s="23"/>
      <c r="O68" s="99" t="s">
        <v>2</v>
      </c>
      <c r="P68" s="99" t="s">
        <v>0</v>
      </c>
      <c r="Q68" s="99" t="s">
        <v>3</v>
      </c>
      <c r="R68" s="99" t="s">
        <v>4</v>
      </c>
      <c r="S68" s="99" t="s">
        <v>5</v>
      </c>
      <c r="U68" s="99" t="s">
        <v>2</v>
      </c>
      <c r="V68" s="99" t="s">
        <v>0</v>
      </c>
      <c r="W68" s="99" t="s">
        <v>3</v>
      </c>
      <c r="X68" s="99" t="s">
        <v>4</v>
      </c>
      <c r="Y68" s="99" t="s">
        <v>5</v>
      </c>
      <c r="AP68" s="174" t="s">
        <v>7</v>
      </c>
      <c r="AQ68" s="174"/>
      <c r="AR68" s="174" t="s">
        <v>60</v>
      </c>
      <c r="AS68" s="174"/>
      <c r="AT68" s="174" t="s">
        <v>8</v>
      </c>
      <c r="AU68" s="174"/>
      <c r="AV68" s="174" t="s">
        <v>12</v>
      </c>
      <c r="AW68" s="174"/>
      <c r="AX68" s="174" t="s">
        <v>9</v>
      </c>
      <c r="AY68" s="174"/>
      <c r="AZ68" s="174" t="s">
        <v>10</v>
      </c>
      <c r="BA68" s="174"/>
      <c r="BC68" s="174" t="s">
        <v>25</v>
      </c>
      <c r="BD68" s="174"/>
      <c r="BE68" s="174" t="s">
        <v>26</v>
      </c>
      <c r="BF68" s="174"/>
      <c r="BG68" s="174" t="s">
        <v>27</v>
      </c>
      <c r="BH68" s="174"/>
      <c r="BI68" s="174" t="s">
        <v>39</v>
      </c>
      <c r="BJ68" s="174"/>
      <c r="BK68" s="174" t="s">
        <v>40</v>
      </c>
      <c r="BL68" s="174"/>
      <c r="BM68" s="174" t="s">
        <v>28</v>
      </c>
      <c r="BN68" s="174"/>
      <c r="BP68" s="174" t="s">
        <v>41</v>
      </c>
      <c r="BQ68" s="174"/>
      <c r="BR68" s="174" t="s">
        <v>298</v>
      </c>
      <c r="BS68" s="174"/>
      <c r="BT68" s="174" t="s">
        <v>42</v>
      </c>
      <c r="BU68" s="174"/>
      <c r="BV68" s="174" t="s">
        <v>43</v>
      </c>
      <c r="BW68" s="174"/>
      <c r="BX68" s="174" t="s">
        <v>52</v>
      </c>
      <c r="BY68" s="174"/>
      <c r="CA68" s="174" t="s">
        <v>53</v>
      </c>
      <c r="CB68" s="174"/>
      <c r="CC68" s="174" t="s">
        <v>54</v>
      </c>
      <c r="CD68" s="174"/>
      <c r="CE68" s="174" t="s">
        <v>55</v>
      </c>
      <c r="CF68" s="174"/>
      <c r="CG68" s="174" t="s">
        <v>56</v>
      </c>
      <c r="CH68" s="174"/>
      <c r="CI68" s="174" t="s">
        <v>57</v>
      </c>
      <c r="CJ68" s="174"/>
      <c r="CM68" s="13" t="s">
        <v>99</v>
      </c>
      <c r="CN68" s="20">
        <v>33.755650000000003</v>
      </c>
      <c r="CO68" s="20">
        <v>-84.401390000000006</v>
      </c>
      <c r="CP68" s="19">
        <v>0.33199999999999996</v>
      </c>
      <c r="CQ68" s="19">
        <v>0.33900000000000008</v>
      </c>
      <c r="CR68" s="19">
        <v>0.37299999999999994</v>
      </c>
      <c r="CS68" s="19">
        <v>0.27700000000000002</v>
      </c>
      <c r="CT68" s="98">
        <v>284.26111111111112</v>
      </c>
      <c r="CU68" s="98">
        <v>303.15000000000003</v>
      </c>
      <c r="CV68" s="98">
        <v>299.26111111111112</v>
      </c>
      <c r="CW68" s="98">
        <v>289.81666666666672</v>
      </c>
      <c r="CX68" s="104">
        <v>5</v>
      </c>
      <c r="CY68" s="104">
        <v>6</v>
      </c>
      <c r="CZ68" s="104">
        <v>7</v>
      </c>
      <c r="DA68" s="104">
        <v>8</v>
      </c>
      <c r="DB68" s="104">
        <v>2</v>
      </c>
      <c r="DG68">
        <f t="shared" si="32"/>
        <v>29</v>
      </c>
      <c r="DH68" s="5">
        <f t="shared" ca="1" si="33"/>
        <v>842.73</v>
      </c>
      <c r="DI68" s="5">
        <f t="shared" ca="1" si="34"/>
        <v>738.33</v>
      </c>
      <c r="DJ68" s="5">
        <f t="shared" ca="1" si="35"/>
        <v>730.44760817122619</v>
      </c>
      <c r="DK68" s="5">
        <f t="shared" ca="1" si="36"/>
        <v>832.56009025413675</v>
      </c>
      <c r="DL68" s="5">
        <f t="shared" ca="1" si="4"/>
        <v>56.706666666666692</v>
      </c>
      <c r="DM68" s="5">
        <f t="shared" ca="1" si="5"/>
        <v>56.212999999999965</v>
      </c>
      <c r="DN68" s="5">
        <f t="shared" ca="1" si="6"/>
        <v>55.803000000000011</v>
      </c>
      <c r="DO68" s="5">
        <f t="shared" ca="1" si="7"/>
        <v>56.02033333333334</v>
      </c>
      <c r="DP68" s="5">
        <f t="shared" ca="1" si="8"/>
        <v>25.958000000000009</v>
      </c>
      <c r="DQ68" s="5">
        <f t="shared" ca="1" si="9"/>
        <v>23.931999999999992</v>
      </c>
      <c r="DR68" s="5">
        <f t="shared" ca="1" si="10"/>
        <v>23.678000000000004</v>
      </c>
      <c r="DS68" s="5">
        <f t="shared" ca="1" si="11"/>
        <v>25.643000000000001</v>
      </c>
      <c r="DU68">
        <f t="shared" si="37"/>
        <v>29</v>
      </c>
      <c r="DV68" s="5">
        <v>955.77</v>
      </c>
      <c r="DW68" s="5">
        <v>913.11224740053115</v>
      </c>
      <c r="DX68" s="5">
        <v>903.36799237894479</v>
      </c>
      <c r="DY68" s="5">
        <v>944.23380941281391</v>
      </c>
      <c r="DZ68" s="5">
        <v>842.73</v>
      </c>
      <c r="EA68" s="5">
        <v>738.33</v>
      </c>
      <c r="EB68" s="5">
        <v>730.44760817122619</v>
      </c>
      <c r="EC68" s="5">
        <v>832.56009025413675</v>
      </c>
      <c r="EE68">
        <f t="shared" si="38"/>
        <v>29</v>
      </c>
      <c r="EF68" s="5">
        <v>32.569000000000017</v>
      </c>
      <c r="EG68" s="5">
        <v>31.118999999999993</v>
      </c>
      <c r="EH68" s="5">
        <v>30.783666666666662</v>
      </c>
      <c r="EI68" s="5">
        <v>32.178000000000011</v>
      </c>
      <c r="EJ68" s="5">
        <v>56.706666666666692</v>
      </c>
      <c r="EK68" s="5">
        <v>56.212999999999965</v>
      </c>
      <c r="EL68" s="5">
        <v>55.803000000000011</v>
      </c>
      <c r="EM68" s="5">
        <v>56.02033333333334</v>
      </c>
      <c r="EO68">
        <f t="shared" si="39"/>
        <v>29</v>
      </c>
      <c r="EP68" s="5">
        <v>25.875000000000011</v>
      </c>
      <c r="EQ68" s="5">
        <v>24.733999999999988</v>
      </c>
      <c r="ER68" s="5">
        <v>24.47</v>
      </c>
      <c r="ES68" s="5">
        <v>25.569000000000013</v>
      </c>
      <c r="ET68" s="5">
        <v>25.958000000000009</v>
      </c>
      <c r="EU68" s="5">
        <v>23.931999999999992</v>
      </c>
      <c r="EV68" s="5">
        <v>23.678000000000004</v>
      </c>
      <c r="EW68" s="5">
        <v>25.643000000000001</v>
      </c>
    </row>
    <row r="69" spans="1:153">
      <c r="A69" s="119"/>
      <c r="B69" s="119"/>
      <c r="C69" t="s">
        <v>324</v>
      </c>
      <c r="D69" s="117">
        <f>COS(PI()*D8/180)</f>
        <v>0.71933980033865119</v>
      </c>
      <c r="I69">
        <v>0.5</v>
      </c>
      <c r="J69">
        <f ca="1">S40*$D$69 + T40*$D$70*COS(U40-$D$71)</f>
        <v>-0.94682981170063385</v>
      </c>
      <c r="K69">
        <f ca="1">V40*$D$69+W40*$D$70*COS(X40-$D$71)</f>
        <v>-0.93482452526706106</v>
      </c>
      <c r="L69">
        <f ca="1">Y40*$D$69+Z40*$D$70*COS(AA40-$D$71)</f>
        <v>-0.94215400342684497</v>
      </c>
      <c r="M69">
        <f ca="1">AB40*$D$69+AC40*$D$70*COS(AD40-$D$71)</f>
        <v>-0.92315330345902125</v>
      </c>
      <c r="O69">
        <v>0.5</v>
      </c>
      <c r="P69" s="5">
        <f ca="1">IF((180/PI())*ACOS(J69)&lt;=$D$12,(180/PI())*ACOS(J69),90)</f>
        <v>90</v>
      </c>
      <c r="Q69" s="5">
        <f ca="1">IF((180/PI())*ACOS(K69)&lt;=$D$12,(180/PI())*ACOS(K69),90)</f>
        <v>90</v>
      </c>
      <c r="R69" s="5">
        <f ca="1">IF((180/PI())*ACOS(L69)&lt;=$D$12,(180/PI())*ACOS(L69),90)</f>
        <v>90</v>
      </c>
      <c r="S69" s="5">
        <f ca="1">IF((180/PI())*ACOS(M69)&lt;=$D$12,(180/PI())*ACOS(M69),90)</f>
        <v>90</v>
      </c>
      <c r="U69">
        <v>0.5</v>
      </c>
      <c r="V69" s="107">
        <f ca="1">IF(J5&gt;0, COS(PI()*P69/180),0)</f>
        <v>6.1257422745431001E-17</v>
      </c>
      <c r="W69" s="107">
        <f ca="1">IF(K5&gt;0, COS(PI()*Q69/180),0)</f>
        <v>6.1257422745431001E-17</v>
      </c>
      <c r="X69" s="107">
        <f ca="1">IF(L5&gt;0, COS(PI()*R69/180),0)</f>
        <v>6.1257422745431001E-17</v>
      </c>
      <c r="Y69" s="107">
        <f ca="1">IF(M5&gt;0, COS(PI()*S69/180),0)</f>
        <v>6.1257422745431001E-17</v>
      </c>
      <c r="AO69" s="1" t="s">
        <v>2</v>
      </c>
      <c r="AP69" t="s">
        <v>13</v>
      </c>
      <c r="AQ69" t="s">
        <v>14</v>
      </c>
      <c r="AR69" t="s">
        <v>15</v>
      </c>
      <c r="AS69" t="s">
        <v>16</v>
      </c>
      <c r="AT69" t="s">
        <v>17</v>
      </c>
      <c r="AU69" t="s">
        <v>18</v>
      </c>
      <c r="AV69" t="s">
        <v>19</v>
      </c>
      <c r="AW69" t="s">
        <v>20</v>
      </c>
      <c r="AX69" t="s">
        <v>21</v>
      </c>
      <c r="AY69" t="s">
        <v>22</v>
      </c>
      <c r="AZ69" t="s">
        <v>23</v>
      </c>
      <c r="BA69" t="s">
        <v>24</v>
      </c>
      <c r="BB69" s="4" t="s">
        <v>2</v>
      </c>
      <c r="BC69" t="s">
        <v>29</v>
      </c>
      <c r="BD69" t="s">
        <v>30</v>
      </c>
      <c r="BE69" t="s">
        <v>15</v>
      </c>
      <c r="BF69" t="s">
        <v>16</v>
      </c>
      <c r="BG69" t="s">
        <v>31</v>
      </c>
      <c r="BH69" t="s">
        <v>32</v>
      </c>
      <c r="BI69" t="s">
        <v>33</v>
      </c>
      <c r="BJ69" t="s">
        <v>34</v>
      </c>
      <c r="BK69" t="s">
        <v>35</v>
      </c>
      <c r="BL69" t="s">
        <v>36</v>
      </c>
      <c r="BM69" t="s">
        <v>37</v>
      </c>
      <c r="BN69" t="s">
        <v>38</v>
      </c>
      <c r="BO69" s="4" t="s">
        <v>2</v>
      </c>
      <c r="BP69" t="s">
        <v>44</v>
      </c>
      <c r="BQ69" t="s">
        <v>45</v>
      </c>
      <c r="BR69" t="s">
        <v>31</v>
      </c>
      <c r="BS69" t="s">
        <v>32</v>
      </c>
      <c r="BT69" t="s">
        <v>48</v>
      </c>
      <c r="BU69" t="s">
        <v>49</v>
      </c>
      <c r="BV69" t="s">
        <v>23</v>
      </c>
      <c r="BW69" t="s">
        <v>24</v>
      </c>
      <c r="BX69" t="s">
        <v>50</v>
      </c>
      <c r="BY69" t="s">
        <v>51</v>
      </c>
      <c r="BZ69" s="6" t="s">
        <v>2</v>
      </c>
      <c r="CA69" s="5" t="s">
        <v>46</v>
      </c>
      <c r="CB69" s="5" t="s">
        <v>47</v>
      </c>
      <c r="CC69" s="5" t="s">
        <v>58</v>
      </c>
      <c r="CD69" s="5" t="s">
        <v>59</v>
      </c>
      <c r="CE69" s="5" t="s">
        <v>48</v>
      </c>
      <c r="CF69" s="5" t="s">
        <v>49</v>
      </c>
      <c r="CG69" s="5" t="s">
        <v>23</v>
      </c>
      <c r="CH69" s="5" t="s">
        <v>24</v>
      </c>
      <c r="CI69" s="5" t="s">
        <v>37</v>
      </c>
      <c r="CJ69" s="5" t="s">
        <v>38</v>
      </c>
      <c r="CM69" s="13" t="s">
        <v>100</v>
      </c>
      <c r="CN69" s="20">
        <v>33.464260000000003</v>
      </c>
      <c r="CO69" s="20">
        <v>-81.984449999999995</v>
      </c>
      <c r="CP69" s="19">
        <v>0.29699999999999993</v>
      </c>
      <c r="CQ69" s="19">
        <v>0.31200000000000006</v>
      </c>
      <c r="CR69" s="19">
        <v>0.35500000000000004</v>
      </c>
      <c r="CS69" s="19">
        <v>0.25</v>
      </c>
      <c r="CT69" s="98">
        <v>289.81666666666672</v>
      </c>
      <c r="CU69" s="98">
        <v>302.59444444444449</v>
      </c>
      <c r="CV69" s="98">
        <v>306.48333333333335</v>
      </c>
      <c r="CW69" s="98">
        <v>293.70555555555558</v>
      </c>
      <c r="CX69" s="104">
        <v>5</v>
      </c>
      <c r="CY69" s="104">
        <v>6</v>
      </c>
      <c r="CZ69" s="104">
        <v>7</v>
      </c>
      <c r="DA69" s="104">
        <v>8</v>
      </c>
      <c r="DB69" s="104">
        <v>2</v>
      </c>
      <c r="DG69">
        <f t="shared" si="32"/>
        <v>30</v>
      </c>
      <c r="DH69" s="5">
        <f t="shared" ca="1" si="33"/>
        <v>839.56</v>
      </c>
      <c r="DI69" s="5">
        <f t="shared" ca="1" si="34"/>
        <v>735.2</v>
      </c>
      <c r="DJ69" s="5">
        <f t="shared" ca="1" si="35"/>
        <v>727.35102396961452</v>
      </c>
      <c r="DK69" s="5">
        <f t="shared" ca="1" si="36"/>
        <v>829.42834522772762</v>
      </c>
      <c r="DL69" s="5">
        <f t="shared" ca="1" si="4"/>
        <v>55.580000000000005</v>
      </c>
      <c r="DM69" s="5">
        <f t="shared" ca="1" si="5"/>
        <v>55.073333333333331</v>
      </c>
      <c r="DN69" s="5">
        <f t="shared" ca="1" si="6"/>
        <v>54.696666666666665</v>
      </c>
      <c r="DO69" s="5">
        <f t="shared" ca="1" si="7"/>
        <v>54.906666666666673</v>
      </c>
      <c r="DP69" s="5">
        <f t="shared" ca="1" si="8"/>
        <v>25.52</v>
      </c>
      <c r="DQ69" s="5">
        <f t="shared" ca="1" si="9"/>
        <v>23.53</v>
      </c>
      <c r="DR69" s="5">
        <f t="shared" ca="1" si="10"/>
        <v>23.28</v>
      </c>
      <c r="DS69" s="5">
        <f t="shared" ca="1" si="11"/>
        <v>25.21</v>
      </c>
      <c r="DU69">
        <f t="shared" si="37"/>
        <v>30</v>
      </c>
      <c r="DV69" s="5">
        <v>953.4</v>
      </c>
      <c r="DW69" s="5">
        <v>910.8480248089669</v>
      </c>
      <c r="DX69" s="5">
        <v>901.12793238340385</v>
      </c>
      <c r="DY69" s="5">
        <v>941.89241542858304</v>
      </c>
      <c r="DZ69" s="5">
        <v>839.56</v>
      </c>
      <c r="EA69" s="5">
        <v>735.2</v>
      </c>
      <c r="EB69" s="5">
        <v>727.35102396961452</v>
      </c>
      <c r="EC69" s="5">
        <v>829.42834522772762</v>
      </c>
      <c r="EE69">
        <f t="shared" si="38"/>
        <v>30</v>
      </c>
      <c r="EF69" s="5">
        <v>31.986666666666665</v>
      </c>
      <c r="EG69" s="5">
        <v>30.563333333333333</v>
      </c>
      <c r="EH69" s="5">
        <v>30.233333333333331</v>
      </c>
      <c r="EI69" s="5">
        <v>31.603333333333335</v>
      </c>
      <c r="EJ69" s="5">
        <v>55.580000000000005</v>
      </c>
      <c r="EK69" s="5">
        <v>55.073333333333331</v>
      </c>
      <c r="EL69" s="5">
        <v>54.696666666666665</v>
      </c>
      <c r="EM69" s="5">
        <v>54.906666666666673</v>
      </c>
      <c r="EO69">
        <f t="shared" si="39"/>
        <v>30</v>
      </c>
      <c r="EP69" s="5">
        <v>25.44</v>
      </c>
      <c r="EQ69" s="5">
        <v>24.32</v>
      </c>
      <c r="ER69" s="5">
        <v>24.06</v>
      </c>
      <c r="ES69" s="5">
        <v>25.14</v>
      </c>
      <c r="ET69" s="5">
        <v>25.52</v>
      </c>
      <c r="EU69" s="5">
        <v>23.53</v>
      </c>
      <c r="EV69" s="5">
        <v>23.28</v>
      </c>
      <c r="EW69" s="5">
        <v>25.21</v>
      </c>
    </row>
    <row r="70" spans="1:153">
      <c r="A70" s="119"/>
      <c r="B70" s="119"/>
      <c r="C70" t="s">
        <v>325</v>
      </c>
      <c r="D70" s="117">
        <f>SIN(PI()*D8/180)</f>
        <v>0.69465837045899725</v>
      </c>
      <c r="I70">
        <f>I69+1</f>
        <v>1.5</v>
      </c>
      <c r="J70">
        <f t="shared" ref="J70:J92" ca="1" si="67">S41*$D$69 + T41*$D$70*COS(U41-$D$71)</f>
        <v>-0.87656595984683816</v>
      </c>
      <c r="K70">
        <f t="shared" ref="K70:K92" ca="1" si="68">V41*$D$69+W41*$D$70*COS(X41-$D$71)</f>
        <v>-0.84651894146436635</v>
      </c>
      <c r="L70">
        <f t="shared" ref="L70:L92" ca="1" si="69">Y41*$D$69+Z41*$D$70*COS(AA41-$D$71)</f>
        <v>-0.86357532517374858</v>
      </c>
      <c r="M70">
        <f t="shared" ref="M70:M92" ca="1" si="70">AB41*$D$69+AC41*$D$70*COS(AD41-$D$71)</f>
        <v>-0.82154676858665088</v>
      </c>
      <c r="O70">
        <f>O69+1</f>
        <v>1.5</v>
      </c>
      <c r="P70" s="5">
        <f t="shared" ref="P70:P92" ca="1" si="71">IF((180/PI())*ACOS(J70)&lt;=$D$12,(180/PI())*ACOS(J70),90)</f>
        <v>90</v>
      </c>
      <c r="Q70" s="5">
        <f t="shared" ref="Q70:Q92" ca="1" si="72">IF((180/PI())*ACOS(K70)&lt;=$D$12,(180/PI())*ACOS(K70),90)</f>
        <v>90</v>
      </c>
      <c r="R70" s="5">
        <f t="shared" ref="R70:R92" ca="1" si="73">IF((180/PI())*ACOS(L70)&lt;=$D$12,(180/PI())*ACOS(L70),90)</f>
        <v>90</v>
      </c>
      <c r="S70" s="5">
        <f t="shared" ref="S70:S92" ca="1" si="74">IF((180/PI())*ACOS(M70)&lt;=$D$12,(180/PI())*ACOS(M70),90)</f>
        <v>90</v>
      </c>
      <c r="U70">
        <f>U69+1</f>
        <v>1.5</v>
      </c>
      <c r="V70" s="107">
        <f t="shared" ref="V70:V92" ca="1" si="75">IF(J6&gt;0, COS(PI()*P70/180),0)</f>
        <v>6.1257422745431001E-17</v>
      </c>
      <c r="W70" s="107">
        <f t="shared" ref="W70:W92" ca="1" si="76">IF(K6&gt;0, COS(PI()*Q70/180),0)</f>
        <v>6.1257422745431001E-17</v>
      </c>
      <c r="X70" s="107">
        <f t="shared" ref="X70:X92" ca="1" si="77">IF(L6&gt;0, COS(PI()*R70/180),0)</f>
        <v>6.1257422745431001E-17</v>
      </c>
      <c r="Y70" s="107">
        <f t="shared" ref="Y70:Y92" ca="1" si="78">IF(M6&gt;0, COS(PI()*S70/180),0)</f>
        <v>6.1257422745431001E-17</v>
      </c>
      <c r="AN70" s="3"/>
      <c r="AO70">
        <v>0.5</v>
      </c>
      <c r="AP70" s="5">
        <v>4.45</v>
      </c>
      <c r="AQ70" s="5">
        <v>137.43</v>
      </c>
      <c r="AR70" s="5">
        <v>2.19</v>
      </c>
      <c r="AS70" s="5">
        <v>132.97</v>
      </c>
      <c r="AT70" s="5">
        <v>3.04</v>
      </c>
      <c r="AU70" s="5">
        <v>128.1</v>
      </c>
      <c r="AV70" s="5">
        <v>0.41</v>
      </c>
      <c r="AW70" s="5">
        <v>123.33</v>
      </c>
      <c r="AX70" s="5">
        <v>4.97</v>
      </c>
      <c r="AY70" s="5">
        <v>120.37</v>
      </c>
      <c r="AZ70" s="5">
        <v>14.25</v>
      </c>
      <c r="BA70" s="5">
        <v>118.48</v>
      </c>
      <c r="BB70">
        <v>0.5</v>
      </c>
      <c r="BC70" s="5">
        <v>1.19</v>
      </c>
      <c r="BD70" s="5">
        <v>137.32</v>
      </c>
      <c r="BE70" s="5">
        <v>10.8</v>
      </c>
      <c r="BF70" s="5">
        <v>132.63999999999999</v>
      </c>
      <c r="BG70" s="5">
        <v>2.9</v>
      </c>
      <c r="BH70" s="5">
        <v>127.22</v>
      </c>
      <c r="BI70" s="5">
        <v>1.87</v>
      </c>
      <c r="BJ70" s="5">
        <v>122.5</v>
      </c>
      <c r="BK70" s="5">
        <v>5.51</v>
      </c>
      <c r="BL70" s="5">
        <v>118.14</v>
      </c>
      <c r="BM70" s="5">
        <v>359.45</v>
      </c>
      <c r="BN70" s="5">
        <v>115.29</v>
      </c>
      <c r="BO70">
        <v>0.5</v>
      </c>
      <c r="BP70" s="5">
        <v>3.09</v>
      </c>
      <c r="BQ70" s="5">
        <v>131.03</v>
      </c>
      <c r="BR70">
        <v>8.92</v>
      </c>
      <c r="BS70">
        <v>127.16</v>
      </c>
      <c r="BT70" s="5">
        <v>5.54</v>
      </c>
      <c r="BU70" s="5">
        <v>124.05</v>
      </c>
      <c r="BV70" s="5">
        <v>5.13</v>
      </c>
      <c r="BW70" s="5">
        <v>120.32</v>
      </c>
      <c r="BX70" s="5">
        <v>2.17</v>
      </c>
      <c r="BY70" s="5">
        <v>115.8</v>
      </c>
      <c r="BZ70" s="7">
        <v>0.5</v>
      </c>
      <c r="CA70" s="5">
        <v>13.94</v>
      </c>
      <c r="CB70" s="5">
        <v>129.41999999999999</v>
      </c>
      <c r="CC70" s="5">
        <v>10.14</v>
      </c>
      <c r="CD70" s="5">
        <v>125.93</v>
      </c>
      <c r="CE70" s="5">
        <v>15.37</v>
      </c>
      <c r="CF70" s="5">
        <v>122.66</v>
      </c>
      <c r="CG70" s="5">
        <v>5.53</v>
      </c>
      <c r="CH70" s="5">
        <v>119.75</v>
      </c>
      <c r="CI70" s="5">
        <v>6.39</v>
      </c>
      <c r="CJ70" s="5">
        <v>115.45</v>
      </c>
      <c r="CM70" s="13" t="s">
        <v>101</v>
      </c>
      <c r="CN70" s="20">
        <v>32.829810000000002</v>
      </c>
      <c r="CO70" s="20">
        <v>-83.64658</v>
      </c>
      <c r="CP70" s="19">
        <v>0.31099999999999994</v>
      </c>
      <c r="CQ70" s="19">
        <v>0.32800000000000007</v>
      </c>
      <c r="CR70" s="19">
        <v>0.37599999999999995</v>
      </c>
      <c r="CS70" s="19">
        <v>0.26300000000000001</v>
      </c>
      <c r="CT70" s="98">
        <v>289.81666666666672</v>
      </c>
      <c r="CU70" s="98">
        <v>302.59444444444449</v>
      </c>
      <c r="CV70" s="98">
        <v>305.92777777777781</v>
      </c>
      <c r="CW70" s="98">
        <v>293.70555555555558</v>
      </c>
      <c r="CX70" s="104">
        <v>5</v>
      </c>
      <c r="CY70" s="104">
        <v>6</v>
      </c>
      <c r="CZ70" s="104">
        <v>7</v>
      </c>
      <c r="DA70" s="104">
        <v>8</v>
      </c>
      <c r="DB70" s="104">
        <v>2</v>
      </c>
      <c r="DG70">
        <f t="shared" si="32"/>
        <v>31</v>
      </c>
      <c r="DH70" s="5">
        <f t="shared" ca="1" si="33"/>
        <v>836.28</v>
      </c>
      <c r="DI70" s="5">
        <f t="shared" ca="1" si="34"/>
        <v>731.97</v>
      </c>
      <c r="DJ70" s="5">
        <f t="shared" ca="1" si="35"/>
        <v>724.15550736539547</v>
      </c>
      <c r="DK70" s="5">
        <f t="shared" ca="1" si="36"/>
        <v>826.18792766097022</v>
      </c>
      <c r="DL70" s="5">
        <f t="shared" ca="1" si="4"/>
        <v>54.418000000000006</v>
      </c>
      <c r="DM70" s="5">
        <f t="shared" ca="1" si="5"/>
        <v>53.93966666666666</v>
      </c>
      <c r="DN70" s="5">
        <f t="shared" ca="1" si="6"/>
        <v>53.553666666666665</v>
      </c>
      <c r="DO70" s="5">
        <f t="shared" ca="1" si="7"/>
        <v>53.759000000000007</v>
      </c>
      <c r="DP70" s="5">
        <f t="shared" ca="1" si="8"/>
        <v>24.920999999999999</v>
      </c>
      <c r="DQ70" s="5">
        <f t="shared" ca="1" si="9"/>
        <v>22.98</v>
      </c>
      <c r="DR70" s="5">
        <f t="shared" ca="1" si="10"/>
        <v>22.736000000000001</v>
      </c>
      <c r="DS70" s="5">
        <f t="shared" ca="1" si="11"/>
        <v>24.619</v>
      </c>
      <c r="DU70">
        <f t="shared" si="37"/>
        <v>31</v>
      </c>
      <c r="DV70" s="5">
        <v>950.93</v>
      </c>
      <c r="DW70" s="5">
        <v>908.48826539919321</v>
      </c>
      <c r="DX70" s="5">
        <v>898.79335508847305</v>
      </c>
      <c r="DY70" s="5">
        <v>939.45222844923683</v>
      </c>
      <c r="DZ70" s="5">
        <v>836.28</v>
      </c>
      <c r="EA70" s="5">
        <v>731.97</v>
      </c>
      <c r="EB70" s="5">
        <v>724.15550736539547</v>
      </c>
      <c r="EC70" s="5">
        <v>826.18792766097022</v>
      </c>
      <c r="EE70">
        <f t="shared" si="38"/>
        <v>31</v>
      </c>
      <c r="EF70" s="5">
        <v>31.383333333333333</v>
      </c>
      <c r="EG70" s="5">
        <v>29.986666666666665</v>
      </c>
      <c r="EH70" s="5">
        <v>29.66333333333333</v>
      </c>
      <c r="EI70" s="5">
        <v>31.007000000000001</v>
      </c>
      <c r="EJ70" s="5">
        <v>54.418000000000006</v>
      </c>
      <c r="EK70" s="5">
        <v>53.93966666666666</v>
      </c>
      <c r="EL70" s="5">
        <v>53.553666666666665</v>
      </c>
      <c r="EM70" s="5">
        <v>53.759000000000007</v>
      </c>
      <c r="EO70">
        <f t="shared" si="39"/>
        <v>31</v>
      </c>
      <c r="EP70" s="5">
        <v>24.848000000000003</v>
      </c>
      <c r="EQ70" s="5">
        <v>23.753</v>
      </c>
      <c r="ER70" s="5">
        <v>23.5</v>
      </c>
      <c r="ES70" s="5">
        <v>24.554000000000002</v>
      </c>
      <c r="ET70" s="5">
        <v>24.920999999999999</v>
      </c>
      <c r="EU70" s="5">
        <v>22.98</v>
      </c>
      <c r="EV70" s="5">
        <v>22.736000000000001</v>
      </c>
      <c r="EW70" s="5">
        <v>24.619</v>
      </c>
    </row>
    <row r="71" spans="1:153">
      <c r="A71" s="119"/>
      <c r="B71" s="119"/>
      <c r="C71" t="s">
        <v>498</v>
      </c>
      <c r="D71" s="117">
        <f>PI()*D7/180</f>
        <v>3.1415926535897931</v>
      </c>
      <c r="E71" t="s">
        <v>327</v>
      </c>
      <c r="I71">
        <f t="shared" ref="I71:I92" si="79">I70+1</f>
        <v>2.5</v>
      </c>
      <c r="J71">
        <f t="shared" ca="1" si="67"/>
        <v>-0.74674784319174836</v>
      </c>
      <c r="K71">
        <f t="shared" ca="1" si="68"/>
        <v>-0.70140989221543126</v>
      </c>
      <c r="L71">
        <f t="shared" ca="1" si="69"/>
        <v>-0.72721508507574439</v>
      </c>
      <c r="M71">
        <f t="shared" ca="1" si="70"/>
        <v>-0.66401197797401768</v>
      </c>
      <c r="O71">
        <f t="shared" ref="O71:O92" si="80">O70+1</f>
        <v>2.5</v>
      </c>
      <c r="P71" s="5">
        <f t="shared" ca="1" si="71"/>
        <v>90</v>
      </c>
      <c r="Q71" s="5">
        <f t="shared" ca="1" si="72"/>
        <v>90</v>
      </c>
      <c r="R71" s="5">
        <f t="shared" ca="1" si="73"/>
        <v>90</v>
      </c>
      <c r="S71" s="5">
        <f t="shared" ca="1" si="74"/>
        <v>90</v>
      </c>
      <c r="U71">
        <f t="shared" ref="U71:U92" si="81">U70+1</f>
        <v>2.5</v>
      </c>
      <c r="V71" s="107">
        <f t="shared" ca="1" si="75"/>
        <v>6.1257422745431001E-17</v>
      </c>
      <c r="W71" s="107">
        <f t="shared" ca="1" si="76"/>
        <v>6.1257422745431001E-17</v>
      </c>
      <c r="X71" s="107">
        <f t="shared" ca="1" si="77"/>
        <v>6.1257422745431001E-17</v>
      </c>
      <c r="Y71" s="107">
        <f t="shared" ca="1" si="78"/>
        <v>6.1257422745431001E-17</v>
      </c>
      <c r="AO71">
        <f>AO70+1</f>
        <v>1.5</v>
      </c>
      <c r="AP71" s="5">
        <v>24.5</v>
      </c>
      <c r="AQ71" s="5">
        <v>134.01</v>
      </c>
      <c r="AR71" s="5">
        <v>21.12</v>
      </c>
      <c r="AS71" s="5">
        <v>130.31</v>
      </c>
      <c r="AT71" s="5">
        <v>20.73</v>
      </c>
      <c r="AU71" s="5">
        <v>125.55</v>
      </c>
      <c r="AV71" s="5">
        <v>17.32</v>
      </c>
      <c r="AW71" s="5">
        <v>121.55</v>
      </c>
      <c r="AX71" s="5">
        <v>21.17</v>
      </c>
      <c r="AY71" s="5">
        <v>117.81</v>
      </c>
      <c r="AZ71" s="5">
        <v>29.65</v>
      </c>
      <c r="BA71" s="5">
        <v>114.34</v>
      </c>
      <c r="BB71">
        <f>BB70+1</f>
        <v>1.5</v>
      </c>
      <c r="BC71" s="5">
        <v>21.55</v>
      </c>
      <c r="BD71" s="5">
        <v>134.62</v>
      </c>
      <c r="BE71" s="5">
        <v>28.78</v>
      </c>
      <c r="BF71" s="5">
        <v>128.15</v>
      </c>
      <c r="BG71" s="5">
        <v>20.399999999999999</v>
      </c>
      <c r="BH71" s="5">
        <v>124.66</v>
      </c>
      <c r="BI71" s="5">
        <v>18.559999999999999</v>
      </c>
      <c r="BJ71" s="5">
        <v>120.44</v>
      </c>
      <c r="BK71" s="5">
        <v>21.39</v>
      </c>
      <c r="BL71" s="5">
        <v>115.68</v>
      </c>
      <c r="BM71" s="5">
        <v>15.19</v>
      </c>
      <c r="BN71" s="5">
        <v>113.94</v>
      </c>
      <c r="BO71">
        <f>BO70+1</f>
        <v>1.5</v>
      </c>
      <c r="BP71" s="5">
        <v>21.45</v>
      </c>
      <c r="BQ71" s="5">
        <v>128.32</v>
      </c>
      <c r="BR71">
        <v>25.97</v>
      </c>
      <c r="BS71">
        <v>123.5</v>
      </c>
      <c r="BT71" s="5">
        <v>22.29</v>
      </c>
      <c r="BU71" s="5">
        <v>121.22</v>
      </c>
      <c r="BV71" s="5">
        <v>21.32</v>
      </c>
      <c r="BW71" s="5">
        <v>117.9</v>
      </c>
      <c r="BX71" s="5">
        <v>17.899999999999999</v>
      </c>
      <c r="BY71" s="5">
        <v>113.99</v>
      </c>
      <c r="BZ71" s="7">
        <f>BZ70+1</f>
        <v>1.5</v>
      </c>
      <c r="CA71" s="5">
        <v>30.9</v>
      </c>
      <c r="CB71" s="5">
        <v>124.55</v>
      </c>
      <c r="CC71" s="5">
        <v>26.87</v>
      </c>
      <c r="CD71" s="5">
        <v>122.11</v>
      </c>
      <c r="CE71" s="5">
        <v>31.15</v>
      </c>
      <c r="CF71" s="5">
        <v>118.03</v>
      </c>
      <c r="CG71" s="5">
        <v>21.63</v>
      </c>
      <c r="CH71" s="5">
        <v>117.31</v>
      </c>
      <c r="CI71" s="5">
        <v>21.91</v>
      </c>
      <c r="CJ71" s="5">
        <v>112.97</v>
      </c>
      <c r="CM71" s="13" t="s">
        <v>102</v>
      </c>
      <c r="CN71" s="20">
        <v>32.068080000000002</v>
      </c>
      <c r="CO71" s="20">
        <v>-81.087360000000004</v>
      </c>
      <c r="CP71" s="19">
        <v>0.29400000000000004</v>
      </c>
      <c r="CQ71" s="19">
        <v>0.32400000000000001</v>
      </c>
      <c r="CR71" s="19">
        <v>0.41899999999999993</v>
      </c>
      <c r="CS71" s="19">
        <v>0.309</v>
      </c>
      <c r="CT71" s="98">
        <v>290.92777777777781</v>
      </c>
      <c r="CU71" s="98">
        <v>302.59444444444449</v>
      </c>
      <c r="CV71" s="98">
        <v>305.92777777777781</v>
      </c>
      <c r="CW71" s="98">
        <v>294.81666666666672</v>
      </c>
      <c r="CX71" s="104">
        <v>5</v>
      </c>
      <c r="CY71" s="104">
        <v>6</v>
      </c>
      <c r="CZ71" s="104">
        <v>7</v>
      </c>
      <c r="DA71" s="104">
        <v>8</v>
      </c>
      <c r="DB71" s="104">
        <v>2</v>
      </c>
      <c r="DG71">
        <f t="shared" si="32"/>
        <v>32</v>
      </c>
      <c r="DH71" s="5">
        <f t="shared" ca="1" si="33"/>
        <v>832.82</v>
      </c>
      <c r="DI71" s="5">
        <f t="shared" ca="1" si="34"/>
        <v>728.6</v>
      </c>
      <c r="DJ71" s="5">
        <f t="shared" ca="1" si="35"/>
        <v>720.82148539752609</v>
      </c>
      <c r="DK71" s="5">
        <f t="shared" ca="1" si="36"/>
        <v>822.76968230091506</v>
      </c>
      <c r="DL71" s="5">
        <f t="shared" ca="1" si="4"/>
        <v>53.256000000000007</v>
      </c>
      <c r="DM71" s="5">
        <f t="shared" ca="1" si="5"/>
        <v>52.80599999999999</v>
      </c>
      <c r="DN71" s="5">
        <f t="shared" ca="1" si="6"/>
        <v>52.410666666666664</v>
      </c>
      <c r="DO71" s="5">
        <f t="shared" ca="1" si="7"/>
        <v>52.611333333333341</v>
      </c>
      <c r="DP71" s="5">
        <f t="shared" ca="1" si="8"/>
        <v>24.321999999999999</v>
      </c>
      <c r="DQ71" s="5">
        <f t="shared" ca="1" si="9"/>
        <v>22.43</v>
      </c>
      <c r="DR71" s="5">
        <f t="shared" ca="1" si="10"/>
        <v>22.192</v>
      </c>
      <c r="DS71" s="5">
        <f t="shared" ca="1" si="11"/>
        <v>24.027999999999999</v>
      </c>
      <c r="DU71">
        <f t="shared" si="37"/>
        <v>32</v>
      </c>
      <c r="DV71" s="5">
        <v>948.34</v>
      </c>
      <c r="DW71" s="5">
        <v>906.01386180756845</v>
      </c>
      <c r="DX71" s="5">
        <v>896.34535703427446</v>
      </c>
      <c r="DY71" s="5">
        <v>936.89348987575261</v>
      </c>
      <c r="DZ71" s="5">
        <v>832.82</v>
      </c>
      <c r="EA71" s="5">
        <v>728.6</v>
      </c>
      <c r="EB71" s="5">
        <v>720.82148539752609</v>
      </c>
      <c r="EC71" s="5">
        <v>822.76968230091506</v>
      </c>
      <c r="EE71">
        <f t="shared" si="38"/>
        <v>32</v>
      </c>
      <c r="EF71" s="5">
        <v>30.78</v>
      </c>
      <c r="EG71" s="5">
        <v>29.409999999999997</v>
      </c>
      <c r="EH71" s="5">
        <v>29.09333333333333</v>
      </c>
      <c r="EI71" s="5">
        <v>30.410666666666668</v>
      </c>
      <c r="EJ71" s="5">
        <v>53.256000000000007</v>
      </c>
      <c r="EK71" s="5">
        <v>52.80599999999999</v>
      </c>
      <c r="EL71" s="5">
        <v>52.410666666666664</v>
      </c>
      <c r="EM71" s="5">
        <v>52.611333333333341</v>
      </c>
      <c r="EO71">
        <f t="shared" si="39"/>
        <v>32</v>
      </c>
      <c r="EP71" s="5">
        <v>24.256000000000004</v>
      </c>
      <c r="EQ71" s="5">
        <v>23.186</v>
      </c>
      <c r="ER71" s="5">
        <v>22.94</v>
      </c>
      <c r="ES71" s="5">
        <v>23.968000000000004</v>
      </c>
      <c r="ET71" s="5">
        <v>24.321999999999999</v>
      </c>
      <c r="EU71" s="5">
        <v>22.43</v>
      </c>
      <c r="EV71" s="5">
        <v>22.192</v>
      </c>
      <c r="EW71" s="5">
        <v>24.027999999999999</v>
      </c>
    </row>
    <row r="72" spans="1:153">
      <c r="A72" s="119"/>
      <c r="B72" s="119"/>
      <c r="C72" t="s">
        <v>513</v>
      </c>
      <c r="D72" s="108">
        <f>($D$11-1)/25</f>
        <v>-6.000000000000001E-3</v>
      </c>
      <c r="I72">
        <f t="shared" si="79"/>
        <v>3.5</v>
      </c>
      <c r="J72">
        <f t="shared" ca="1" si="67"/>
        <v>-0.5657597637318541</v>
      </c>
      <c r="K72">
        <f t="shared" ca="1" si="68"/>
        <v>-0.50830414810496516</v>
      </c>
      <c r="L72">
        <f t="shared" ca="1" si="69"/>
        <v>-0.54102991031821457</v>
      </c>
      <c r="M72">
        <f t="shared" ca="1" si="70"/>
        <v>-0.4611188710238735</v>
      </c>
      <c r="O72">
        <f t="shared" si="80"/>
        <v>3.5</v>
      </c>
      <c r="P72" s="5">
        <f t="shared" ca="1" si="71"/>
        <v>90</v>
      </c>
      <c r="Q72" s="5">
        <f t="shared" ca="1" si="72"/>
        <v>90</v>
      </c>
      <c r="R72" s="5">
        <f t="shared" ca="1" si="73"/>
        <v>90</v>
      </c>
      <c r="S72" s="5">
        <f t="shared" ca="1" si="74"/>
        <v>90</v>
      </c>
      <c r="U72">
        <f t="shared" si="81"/>
        <v>3.5</v>
      </c>
      <c r="V72" s="107">
        <f t="shared" ca="1" si="75"/>
        <v>6.1257422745431001E-17</v>
      </c>
      <c r="W72" s="107">
        <f t="shared" ca="1" si="76"/>
        <v>6.1257422745431001E-17</v>
      </c>
      <c r="X72" s="107">
        <f t="shared" ca="1" si="77"/>
        <v>6.1257422745431001E-17</v>
      </c>
      <c r="Y72" s="107">
        <f t="shared" ca="1" si="78"/>
        <v>6.1257422745431001E-17</v>
      </c>
      <c r="AO72">
        <f t="shared" ref="AO72" si="82">AO71+1</f>
        <v>2.5</v>
      </c>
      <c r="AP72" s="5">
        <v>40.770000000000003</v>
      </c>
      <c r="AQ72" s="5">
        <v>126.61</v>
      </c>
      <c r="AR72" s="5">
        <v>37.32</v>
      </c>
      <c r="AS72" s="5">
        <v>123.94</v>
      </c>
      <c r="AT72" s="5">
        <v>36.31</v>
      </c>
      <c r="AU72" s="5">
        <v>119.65</v>
      </c>
      <c r="AV72" s="5">
        <v>32.799999999999997</v>
      </c>
      <c r="AW72" s="5">
        <v>116.64</v>
      </c>
      <c r="AX72" s="5">
        <v>35.950000000000003</v>
      </c>
      <c r="AY72" s="5">
        <v>112.52</v>
      </c>
      <c r="AZ72" s="5">
        <v>43.42</v>
      </c>
      <c r="BA72" s="5">
        <v>107.92</v>
      </c>
      <c r="BB72">
        <f t="shared" ref="BB72:BB93" si="83">BB71+1</f>
        <v>2.5</v>
      </c>
      <c r="BC72" s="5">
        <v>38.43</v>
      </c>
      <c r="BD72" s="5">
        <v>127.82</v>
      </c>
      <c r="BE72" s="5">
        <v>43.5</v>
      </c>
      <c r="BF72" s="5">
        <v>120.51</v>
      </c>
      <c r="BG72" s="5">
        <v>35.909999999999997</v>
      </c>
      <c r="BH72" s="5">
        <v>118.93</v>
      </c>
      <c r="BI72" s="5">
        <v>33.81</v>
      </c>
      <c r="BJ72" s="5">
        <v>115.4</v>
      </c>
      <c r="BK72" s="5">
        <v>36</v>
      </c>
      <c r="BL72" s="5">
        <v>110.58</v>
      </c>
      <c r="BM72" s="5">
        <v>30.12</v>
      </c>
      <c r="BN72" s="5">
        <v>110.08</v>
      </c>
      <c r="BO72">
        <f t="shared" ref="BO72:BO93" si="84">BO71+1</f>
        <v>2.5</v>
      </c>
      <c r="BP72" s="5">
        <v>37.299999999999997</v>
      </c>
      <c r="BQ72" s="5">
        <v>122.05</v>
      </c>
      <c r="BR72">
        <v>40.67</v>
      </c>
      <c r="BS72">
        <v>116.75</v>
      </c>
      <c r="BT72" s="5">
        <v>37.229999999999997</v>
      </c>
      <c r="BU72" s="5">
        <v>115.4</v>
      </c>
      <c r="BV72" s="5">
        <v>36.08</v>
      </c>
      <c r="BW72" s="5">
        <v>112.46</v>
      </c>
      <c r="BX72" s="5">
        <v>32.659999999999997</v>
      </c>
      <c r="BY72" s="5">
        <v>109.66</v>
      </c>
      <c r="BZ72" s="7">
        <f t="shared" ref="BZ72:BZ93" si="85">BZ71+1</f>
        <v>2.5</v>
      </c>
      <c r="CA72" s="5">
        <v>44.96</v>
      </c>
      <c r="CB72" s="5">
        <v>116.71</v>
      </c>
      <c r="CC72" s="5">
        <v>41.34</v>
      </c>
      <c r="CD72" s="5">
        <v>115.34</v>
      </c>
      <c r="CE72" s="5">
        <v>44.84</v>
      </c>
      <c r="CF72" s="5">
        <v>110.87</v>
      </c>
      <c r="CG72" s="5">
        <v>36.33</v>
      </c>
      <c r="CH72" s="5">
        <v>112.01</v>
      </c>
      <c r="CI72" s="5">
        <v>36.32</v>
      </c>
      <c r="CJ72" s="5">
        <v>108.04</v>
      </c>
      <c r="CM72" s="13" t="s">
        <v>103</v>
      </c>
      <c r="CN72" s="20">
        <v>40.798439999999999</v>
      </c>
      <c r="CO72" s="20">
        <v>-91.118440000000007</v>
      </c>
      <c r="CP72" s="19">
        <v>0.39100000000000001</v>
      </c>
      <c r="CQ72" s="19">
        <v>0.42300000000000004</v>
      </c>
      <c r="CR72" s="19">
        <v>0.32400000000000001</v>
      </c>
      <c r="CS72" s="19">
        <v>0.36699999999999999</v>
      </c>
      <c r="CT72" s="98">
        <v>275.92777777777781</v>
      </c>
      <c r="CU72" s="98">
        <v>295.92777777777781</v>
      </c>
      <c r="CV72" s="98">
        <v>301.48333333333335</v>
      </c>
      <c r="CW72" s="98">
        <v>282.59444444444443</v>
      </c>
      <c r="CX72" s="104">
        <v>5</v>
      </c>
      <c r="CY72" s="104">
        <v>6</v>
      </c>
      <c r="CZ72" s="104">
        <v>7</v>
      </c>
      <c r="DA72" s="104">
        <v>8</v>
      </c>
      <c r="DB72" s="104">
        <v>2</v>
      </c>
      <c r="DG72">
        <f t="shared" si="32"/>
        <v>33</v>
      </c>
      <c r="DH72" s="5">
        <f t="shared" ca="1" si="33"/>
        <v>829.22</v>
      </c>
      <c r="DI72" s="5">
        <f t="shared" ca="1" si="34"/>
        <v>725.03</v>
      </c>
      <c r="DJ72" s="5">
        <f t="shared" ca="1" si="35"/>
        <v>717.28959862444174</v>
      </c>
      <c r="DK72" s="5">
        <f t="shared" ca="1" si="36"/>
        <v>819.21312643496162</v>
      </c>
      <c r="DL72" s="5">
        <f t="shared" ca="1" si="4"/>
        <v>52.094000000000008</v>
      </c>
      <c r="DM72" s="5">
        <f t="shared" ca="1" si="5"/>
        <v>51.67233333333332</v>
      </c>
      <c r="DN72" s="5">
        <f t="shared" ca="1" si="6"/>
        <v>51.267666666666663</v>
      </c>
      <c r="DO72" s="5">
        <f t="shared" ca="1" si="7"/>
        <v>51.463666666666676</v>
      </c>
      <c r="DP72" s="5">
        <f t="shared" ca="1" si="8"/>
        <v>23.722999999999999</v>
      </c>
      <c r="DQ72" s="5">
        <f t="shared" ca="1" si="9"/>
        <v>21.88</v>
      </c>
      <c r="DR72" s="5">
        <f t="shared" ca="1" si="10"/>
        <v>21.648</v>
      </c>
      <c r="DS72" s="5">
        <f t="shared" ca="1" si="11"/>
        <v>23.436999999999998</v>
      </c>
      <c r="DU72">
        <f t="shared" si="37"/>
        <v>33</v>
      </c>
      <c r="DV72" s="5">
        <v>945.62</v>
      </c>
      <c r="DW72" s="5">
        <v>903.41526035227116</v>
      </c>
      <c r="DX72" s="5">
        <v>893.77448649086887</v>
      </c>
      <c r="DY72" s="5">
        <v>934.20632040861835</v>
      </c>
      <c r="DZ72" s="5">
        <v>829.22</v>
      </c>
      <c r="EA72" s="5">
        <v>725.03</v>
      </c>
      <c r="EB72" s="5">
        <v>717.28959862444174</v>
      </c>
      <c r="EC72" s="5">
        <v>819.21312643496162</v>
      </c>
      <c r="EE72">
        <f t="shared" si="38"/>
        <v>33</v>
      </c>
      <c r="EF72" s="5">
        <v>30.176666666666669</v>
      </c>
      <c r="EG72" s="5">
        <v>28.833333333333329</v>
      </c>
      <c r="EH72" s="5">
        <v>28.52333333333333</v>
      </c>
      <c r="EI72" s="5">
        <v>29.814333333333334</v>
      </c>
      <c r="EJ72" s="5">
        <v>52.094000000000008</v>
      </c>
      <c r="EK72" s="5">
        <v>51.67233333333332</v>
      </c>
      <c r="EL72" s="5">
        <v>51.267666666666663</v>
      </c>
      <c r="EM72" s="5">
        <v>51.463666666666676</v>
      </c>
      <c r="EO72">
        <f t="shared" si="39"/>
        <v>33</v>
      </c>
      <c r="EP72" s="5">
        <v>23.664000000000005</v>
      </c>
      <c r="EQ72" s="5">
        <v>22.619</v>
      </c>
      <c r="ER72" s="5">
        <v>22.380000000000003</v>
      </c>
      <c r="ES72" s="5">
        <v>23.382000000000005</v>
      </c>
      <c r="ET72" s="5">
        <v>23.722999999999999</v>
      </c>
      <c r="EU72" s="5">
        <v>21.88</v>
      </c>
      <c r="EV72" s="5">
        <v>21.648</v>
      </c>
      <c r="EW72" s="5">
        <v>23.436999999999998</v>
      </c>
    </row>
    <row r="73" spans="1:153">
      <c r="I73">
        <f t="shared" si="79"/>
        <v>4.5</v>
      </c>
      <c r="J73">
        <f t="shared" ca="1" si="67"/>
        <v>-0.34623676285614025</v>
      </c>
      <c r="K73">
        <f t="shared" ca="1" si="68"/>
        <v>-0.2809483381136017</v>
      </c>
      <c r="L73">
        <f t="shared" ca="1" si="69"/>
        <v>-0.31756682381758933</v>
      </c>
      <c r="M73">
        <f t="shared" ca="1" si="70"/>
        <v>-0.20888877921340246</v>
      </c>
      <c r="O73">
        <f t="shared" si="80"/>
        <v>4.5</v>
      </c>
      <c r="P73" s="5">
        <f t="shared" ca="1" si="71"/>
        <v>90</v>
      </c>
      <c r="Q73" s="5">
        <f t="shared" ca="1" si="72"/>
        <v>90</v>
      </c>
      <c r="R73" s="5">
        <f t="shared" ca="1" si="73"/>
        <v>90</v>
      </c>
      <c r="S73" s="5">
        <f t="shared" ca="1" si="74"/>
        <v>90</v>
      </c>
      <c r="U73">
        <f t="shared" si="81"/>
        <v>4.5</v>
      </c>
      <c r="V73" s="107">
        <f t="shared" ca="1" si="75"/>
        <v>6.1257422745431001E-17</v>
      </c>
      <c r="W73" s="107">
        <f t="shared" ca="1" si="76"/>
        <v>6.1257422745431001E-17</v>
      </c>
      <c r="X73" s="107">
        <f t="shared" ca="1" si="77"/>
        <v>6.1257422745431001E-17</v>
      </c>
      <c r="Y73" s="107">
        <f t="shared" ca="1" si="78"/>
        <v>6.1257422745431001E-17</v>
      </c>
      <c r="AO73">
        <f t="shared" ref="AO73" si="86">AO72+1</f>
        <v>3.5</v>
      </c>
      <c r="AP73" s="5">
        <v>53.04</v>
      </c>
      <c r="AQ73" s="5">
        <v>116.82</v>
      </c>
      <c r="AR73" s="5">
        <v>50.22</v>
      </c>
      <c r="AS73" s="5">
        <v>114.95</v>
      </c>
      <c r="AT73" s="5">
        <v>49.28</v>
      </c>
      <c r="AU73" s="5">
        <v>111.06</v>
      </c>
      <c r="AV73" s="5">
        <v>46.23</v>
      </c>
      <c r="AW73" s="5">
        <v>109.32</v>
      </c>
      <c r="AX73" s="5">
        <v>48.95</v>
      </c>
      <c r="AY73" s="5">
        <v>105.72</v>
      </c>
      <c r="AZ73" s="5">
        <v>55.54</v>
      </c>
      <c r="BA73" s="5">
        <v>99.67</v>
      </c>
      <c r="BB73">
        <f t="shared" si="83"/>
        <v>3.5</v>
      </c>
      <c r="BC73" s="5">
        <v>51.27</v>
      </c>
      <c r="BD73" s="5">
        <v>118.26</v>
      </c>
      <c r="BE73" s="5">
        <v>55.1</v>
      </c>
      <c r="BF73" s="5">
        <v>110.58</v>
      </c>
      <c r="BG73" s="5">
        <v>48.93</v>
      </c>
      <c r="BH73" s="5">
        <v>110.68</v>
      </c>
      <c r="BI73" s="5">
        <v>47.09</v>
      </c>
      <c r="BJ73" s="5">
        <v>108.04</v>
      </c>
      <c r="BK73" s="5">
        <v>49.02</v>
      </c>
      <c r="BL73" s="5">
        <v>103.36</v>
      </c>
      <c r="BM73" s="5">
        <v>43.76</v>
      </c>
      <c r="BN73" s="5">
        <v>104</v>
      </c>
      <c r="BO73">
        <f t="shared" si="84"/>
        <v>3.5</v>
      </c>
      <c r="BP73" s="5">
        <v>50.14</v>
      </c>
      <c r="BQ73" s="5">
        <v>113.26</v>
      </c>
      <c r="BR73">
        <v>52.88</v>
      </c>
      <c r="BS73">
        <v>107.86</v>
      </c>
      <c r="BT73" s="5">
        <v>50.02</v>
      </c>
      <c r="BU73" s="5">
        <v>108.78</v>
      </c>
      <c r="BV73" s="5">
        <v>49.06</v>
      </c>
      <c r="BW73" s="5">
        <v>104.52</v>
      </c>
      <c r="BX73" s="5">
        <v>46.05</v>
      </c>
      <c r="BY73" s="5">
        <v>103.24</v>
      </c>
      <c r="BZ73" s="7">
        <f t="shared" si="85"/>
        <v>3.5</v>
      </c>
      <c r="CA73" s="5">
        <v>56.32</v>
      </c>
      <c r="CB73" s="5">
        <v>106.98</v>
      </c>
      <c r="CC73" s="5">
        <v>53.45</v>
      </c>
      <c r="CD73" s="5">
        <v>106.74</v>
      </c>
      <c r="CE73" s="5">
        <v>56.52</v>
      </c>
      <c r="CF73" s="5">
        <v>101.89</v>
      </c>
      <c r="CG73" s="5">
        <v>49.28</v>
      </c>
      <c r="CH73" s="5">
        <v>104.56</v>
      </c>
      <c r="CI73" s="5">
        <v>49.35</v>
      </c>
      <c r="CJ73" s="5">
        <v>101.16</v>
      </c>
      <c r="CM73" s="13" t="s">
        <v>104</v>
      </c>
      <c r="CN73" s="20">
        <v>41.568579999999997</v>
      </c>
      <c r="CO73" s="20">
        <v>-93.590909999999994</v>
      </c>
      <c r="CP73" s="19">
        <v>0.34499999999999997</v>
      </c>
      <c r="CQ73" s="19">
        <v>0.39</v>
      </c>
      <c r="CR73" s="19">
        <v>0.28799999999999998</v>
      </c>
      <c r="CS73" s="19">
        <v>0.33199999999999996</v>
      </c>
      <c r="CT73" s="98">
        <v>275.37222222222221</v>
      </c>
      <c r="CU73" s="98">
        <v>295.37222222222226</v>
      </c>
      <c r="CV73" s="98">
        <v>302.03888888888895</v>
      </c>
      <c r="CW73" s="98">
        <v>282.03888888888889</v>
      </c>
      <c r="CX73" s="104">
        <v>5</v>
      </c>
      <c r="CY73" s="104">
        <v>6</v>
      </c>
      <c r="CZ73" s="104">
        <v>7</v>
      </c>
      <c r="DA73" s="104">
        <v>8</v>
      </c>
      <c r="DB73" s="104">
        <v>2</v>
      </c>
      <c r="DG73">
        <f t="shared" si="32"/>
        <v>34</v>
      </c>
      <c r="DH73" s="5">
        <f t="shared" ca="1" si="33"/>
        <v>825.53</v>
      </c>
      <c r="DI73" s="5">
        <f t="shared" ca="1" si="34"/>
        <v>721.41</v>
      </c>
      <c r="DJ73" s="5">
        <f t="shared" ca="1" si="35"/>
        <v>713.70824565005375</v>
      </c>
      <c r="DK73" s="5">
        <f t="shared" ca="1" si="36"/>
        <v>815.56765667235936</v>
      </c>
      <c r="DL73" s="5">
        <f t="shared" ca="1" si="4"/>
        <v>50.932000000000009</v>
      </c>
      <c r="DM73" s="5">
        <f t="shared" ca="1" si="5"/>
        <v>50.53866666666665</v>
      </c>
      <c r="DN73" s="5">
        <f t="shared" ca="1" si="6"/>
        <v>50.124666666666663</v>
      </c>
      <c r="DO73" s="5">
        <f t="shared" ca="1" si="7"/>
        <v>50.31600000000001</v>
      </c>
      <c r="DP73" s="5">
        <f t="shared" ca="1" si="8"/>
        <v>23.123999999999999</v>
      </c>
      <c r="DQ73" s="5">
        <f t="shared" ca="1" si="9"/>
        <v>21.33</v>
      </c>
      <c r="DR73" s="5">
        <f t="shared" ca="1" si="10"/>
        <v>21.103999999999999</v>
      </c>
      <c r="DS73" s="5">
        <f t="shared" ca="1" si="11"/>
        <v>22.845999999999997</v>
      </c>
      <c r="DU73">
        <f t="shared" si="37"/>
        <v>34</v>
      </c>
      <c r="DV73" s="5">
        <v>942.83</v>
      </c>
      <c r="DW73" s="5">
        <v>900.74978312422729</v>
      </c>
      <c r="DX73" s="5">
        <v>891.13745383789046</v>
      </c>
      <c r="DY73" s="5">
        <v>931.44999584490347</v>
      </c>
      <c r="DZ73" s="5">
        <v>825.53</v>
      </c>
      <c r="EA73" s="5">
        <v>721.41</v>
      </c>
      <c r="EB73" s="5">
        <v>713.70824565005375</v>
      </c>
      <c r="EC73" s="5">
        <v>815.56765667235936</v>
      </c>
      <c r="EE73">
        <f t="shared" si="38"/>
        <v>34</v>
      </c>
      <c r="EF73" s="5">
        <v>29.573333333333338</v>
      </c>
      <c r="EG73" s="5">
        <v>28.256666666666661</v>
      </c>
      <c r="EH73" s="5">
        <v>27.95333333333333</v>
      </c>
      <c r="EI73" s="5">
        <v>29.218</v>
      </c>
      <c r="EJ73" s="5">
        <v>50.932000000000009</v>
      </c>
      <c r="EK73" s="5">
        <v>50.53866666666665</v>
      </c>
      <c r="EL73" s="5">
        <v>50.124666666666663</v>
      </c>
      <c r="EM73" s="5">
        <v>50.31600000000001</v>
      </c>
      <c r="EO73">
        <f t="shared" si="39"/>
        <v>34</v>
      </c>
      <c r="EP73" s="5">
        <v>23.072000000000006</v>
      </c>
      <c r="EQ73" s="5">
        <v>22.052</v>
      </c>
      <c r="ER73" s="5">
        <v>21.820000000000004</v>
      </c>
      <c r="ES73" s="5">
        <v>22.796000000000006</v>
      </c>
      <c r="ET73" s="5">
        <v>23.123999999999999</v>
      </c>
      <c r="EU73" s="5">
        <v>21.33</v>
      </c>
      <c r="EV73" s="5">
        <v>21.103999999999999</v>
      </c>
      <c r="EW73" s="5">
        <v>22.845999999999997</v>
      </c>
    </row>
    <row r="74" spans="1:153">
      <c r="I74">
        <f t="shared" si="79"/>
        <v>5.5</v>
      </c>
      <c r="J74">
        <f t="shared" ca="1" si="67"/>
        <v>-0.103413051074979</v>
      </c>
      <c r="K74">
        <f t="shared" ca="1" si="68"/>
        <v>-3.4083730761402364E-2</v>
      </c>
      <c r="L74">
        <f t="shared" ca="1" si="69"/>
        <v>-7.3253709241758808E-2</v>
      </c>
      <c r="M74">
        <f t="shared" ca="1" si="70"/>
        <v>2.3664435309121046E-2</v>
      </c>
      <c r="O74">
        <f t="shared" si="80"/>
        <v>5.5</v>
      </c>
      <c r="P74" s="5">
        <f t="shared" ca="1" si="71"/>
        <v>90</v>
      </c>
      <c r="Q74" s="5">
        <f t="shared" ca="1" si="72"/>
        <v>90</v>
      </c>
      <c r="R74" s="5">
        <f t="shared" ca="1" si="73"/>
        <v>90</v>
      </c>
      <c r="S74" s="5">
        <f t="shared" ca="1" si="74"/>
        <v>90</v>
      </c>
      <c r="U74">
        <f t="shared" si="81"/>
        <v>5.5</v>
      </c>
      <c r="V74" s="107">
        <f t="shared" ca="1" si="75"/>
        <v>6.1257422745431001E-17</v>
      </c>
      <c r="W74" s="107">
        <f t="shared" ca="1" si="76"/>
        <v>6.1257422745431001E-17</v>
      </c>
      <c r="X74" s="107">
        <f t="shared" ca="1" si="77"/>
        <v>6.1257422745431001E-17</v>
      </c>
      <c r="Y74" s="107">
        <f t="shared" ca="1" si="78"/>
        <v>6.1257422745431001E-17</v>
      </c>
      <c r="AO74">
        <f t="shared" ref="AO74" si="87">AO73+1</f>
        <v>4.5</v>
      </c>
      <c r="AP74" s="5">
        <v>62.37</v>
      </c>
      <c r="AQ74" s="5">
        <v>105.36</v>
      </c>
      <c r="AR74" s="5">
        <v>60.45</v>
      </c>
      <c r="AS74" s="5">
        <v>103.99</v>
      </c>
      <c r="AT74" s="5">
        <v>60.03</v>
      </c>
      <c r="AU74" s="5">
        <v>101.3</v>
      </c>
      <c r="AV74" s="5">
        <v>57.77</v>
      </c>
      <c r="AW74" s="5">
        <v>100.25</v>
      </c>
      <c r="AX74" s="5">
        <v>60.37</v>
      </c>
      <c r="AY74" s="5">
        <v>96.13</v>
      </c>
      <c r="AZ74" s="5">
        <v>66.37</v>
      </c>
      <c r="BA74" s="5">
        <v>90.2</v>
      </c>
      <c r="BB74">
        <f t="shared" si="83"/>
        <v>4.5</v>
      </c>
      <c r="BC74" s="5">
        <v>61.02</v>
      </c>
      <c r="BD74" s="5">
        <v>107.04</v>
      </c>
      <c r="BE74" s="5">
        <v>64.38</v>
      </c>
      <c r="BF74" s="5">
        <v>99.21</v>
      </c>
      <c r="BG74" s="5">
        <v>59.8</v>
      </c>
      <c r="BH74" s="5">
        <v>100.85</v>
      </c>
      <c r="BI74" s="5">
        <v>58.57</v>
      </c>
      <c r="BJ74" s="5">
        <v>98.99</v>
      </c>
      <c r="BK74" s="5">
        <v>60.62</v>
      </c>
      <c r="BL74" s="5">
        <v>94.68</v>
      </c>
      <c r="BM74" s="5">
        <v>56.11</v>
      </c>
      <c r="BN74" s="5">
        <v>96.35</v>
      </c>
      <c r="BO74">
        <f t="shared" si="84"/>
        <v>4.5</v>
      </c>
      <c r="BP74" s="5">
        <v>60.52</v>
      </c>
      <c r="BQ74" s="5">
        <v>102.78</v>
      </c>
      <c r="BR74">
        <v>63.11</v>
      </c>
      <c r="BS74">
        <v>97.54</v>
      </c>
      <c r="BT74" s="5">
        <v>60.98</v>
      </c>
      <c r="BU74" s="5">
        <v>97.76</v>
      </c>
      <c r="BV74" s="5">
        <v>60.46</v>
      </c>
      <c r="BW74" s="5">
        <v>96.05</v>
      </c>
      <c r="BX74" s="5">
        <v>58.15</v>
      </c>
      <c r="BY74" s="5">
        <v>95.24</v>
      </c>
      <c r="BZ74" s="7">
        <f t="shared" si="85"/>
        <v>4.5</v>
      </c>
      <c r="CA74" s="5">
        <v>65.7</v>
      </c>
      <c r="CB74" s="5">
        <v>95.95</v>
      </c>
      <c r="CC74" s="5">
        <v>63.71</v>
      </c>
      <c r="CD74" s="5">
        <v>96.23</v>
      </c>
      <c r="CE74" s="5">
        <v>66.69</v>
      </c>
      <c r="CF74" s="5">
        <v>91.62</v>
      </c>
      <c r="CG74" s="5">
        <v>60.69</v>
      </c>
      <c r="CH74" s="5">
        <v>95.02</v>
      </c>
      <c r="CI74" s="5">
        <v>61.16</v>
      </c>
      <c r="CJ74" s="5">
        <v>92.78</v>
      </c>
      <c r="CM74" s="13" t="s">
        <v>105</v>
      </c>
      <c r="CN74" s="20">
        <v>42.510939999999998</v>
      </c>
      <c r="CO74" s="20">
        <v>-90.698679999999996</v>
      </c>
      <c r="CP74" s="19">
        <v>0.35799999999999998</v>
      </c>
      <c r="CQ74" s="19">
        <v>0.39600000000000002</v>
      </c>
      <c r="CR74" s="19">
        <v>0.318</v>
      </c>
      <c r="CS74" s="19">
        <v>0.376</v>
      </c>
      <c r="CT74" s="98">
        <v>273.14999999999998</v>
      </c>
      <c r="CU74" s="98">
        <v>293.70555555555558</v>
      </c>
      <c r="CV74" s="98">
        <v>299.81666666666672</v>
      </c>
      <c r="CW74" s="98">
        <v>280.37222222222221</v>
      </c>
      <c r="CX74" s="104">
        <v>5</v>
      </c>
      <c r="CY74" s="104">
        <v>6</v>
      </c>
      <c r="CZ74" s="104">
        <v>7</v>
      </c>
      <c r="DA74" s="104">
        <v>8</v>
      </c>
      <c r="DB74" s="104">
        <v>2</v>
      </c>
      <c r="DG74">
        <f t="shared" si="32"/>
        <v>35</v>
      </c>
      <c r="DH74" s="5">
        <f t="shared" ca="1" si="33"/>
        <v>821.59</v>
      </c>
      <c r="DI74" s="5">
        <f t="shared" ca="1" si="34"/>
        <v>717.54</v>
      </c>
      <c r="DJ74" s="5">
        <f t="shared" ca="1" si="35"/>
        <v>709.87956166914739</v>
      </c>
      <c r="DK74" s="5">
        <f t="shared" ca="1" si="36"/>
        <v>811.67520386351043</v>
      </c>
      <c r="DL74" s="5">
        <f t="shared" ca="1" si="4"/>
        <v>49.77000000000001</v>
      </c>
      <c r="DM74" s="5">
        <f t="shared" ca="1" si="5"/>
        <v>49.40499999999998</v>
      </c>
      <c r="DN74" s="5">
        <f t="shared" ca="1" si="6"/>
        <v>48.981666666666662</v>
      </c>
      <c r="DO74" s="5">
        <f t="shared" ca="1" si="7"/>
        <v>49.168333333333344</v>
      </c>
      <c r="DP74" s="5">
        <f t="shared" ca="1" si="8"/>
        <v>22.524999999999999</v>
      </c>
      <c r="DQ74" s="5">
        <f t="shared" ca="1" si="9"/>
        <v>20.779999999999998</v>
      </c>
      <c r="DR74" s="5">
        <f t="shared" ca="1" si="10"/>
        <v>20.56</v>
      </c>
      <c r="DS74" s="5">
        <f t="shared" ca="1" si="11"/>
        <v>22.254999999999995</v>
      </c>
      <c r="DU74">
        <f t="shared" si="37"/>
        <v>35</v>
      </c>
      <c r="DV74" s="5">
        <v>939.86</v>
      </c>
      <c r="DW74" s="5">
        <v>897.91233962340641</v>
      </c>
      <c r="DX74" s="5">
        <v>888.33029004601019</v>
      </c>
      <c r="DY74" s="5">
        <v>928.51584388998128</v>
      </c>
      <c r="DZ74" s="5">
        <v>821.59</v>
      </c>
      <c r="EA74" s="5">
        <v>717.54</v>
      </c>
      <c r="EB74" s="5">
        <v>709.87956166914739</v>
      </c>
      <c r="EC74" s="5">
        <v>811.67520386351043</v>
      </c>
      <c r="EE74">
        <f t="shared" si="38"/>
        <v>35</v>
      </c>
      <c r="EF74" s="5">
        <v>28.970000000000006</v>
      </c>
      <c r="EG74" s="5">
        <v>27.679999999999993</v>
      </c>
      <c r="EH74" s="5">
        <v>27.383333333333329</v>
      </c>
      <c r="EI74" s="5">
        <v>28.621666666666666</v>
      </c>
      <c r="EJ74" s="5">
        <v>49.77000000000001</v>
      </c>
      <c r="EK74" s="5">
        <v>49.40499999999998</v>
      </c>
      <c r="EL74" s="5">
        <v>48.981666666666662</v>
      </c>
      <c r="EM74" s="5">
        <v>49.168333333333344</v>
      </c>
      <c r="EO74">
        <f t="shared" si="39"/>
        <v>35</v>
      </c>
      <c r="EP74" s="5">
        <v>22.480000000000008</v>
      </c>
      <c r="EQ74" s="5">
        <v>21.484999999999999</v>
      </c>
      <c r="ER74" s="5">
        <v>21.260000000000005</v>
      </c>
      <c r="ES74" s="5">
        <v>22.210000000000008</v>
      </c>
      <c r="ET74" s="5">
        <v>22.524999999999999</v>
      </c>
      <c r="EU74" s="5">
        <v>20.779999999999998</v>
      </c>
      <c r="EV74" s="5">
        <v>20.56</v>
      </c>
      <c r="EW74" s="5">
        <v>22.254999999999995</v>
      </c>
    </row>
    <row r="75" spans="1:153">
      <c r="I75">
        <f t="shared" si="79"/>
        <v>6.5</v>
      </c>
      <c r="J75">
        <f t="shared" ca="1" si="67"/>
        <v>0.14736459971259339</v>
      </c>
      <c r="K75">
        <f t="shared" ca="1" si="68"/>
        <v>0.21408087209458537</v>
      </c>
      <c r="L75">
        <f t="shared" ca="1" si="69"/>
        <v>0.17565178553115984</v>
      </c>
      <c r="M75">
        <f t="shared" ca="1" si="70"/>
        <v>0.27220600889249047</v>
      </c>
      <c r="O75">
        <f t="shared" si="80"/>
        <v>6.5</v>
      </c>
      <c r="P75" s="5">
        <f t="shared" ca="1" si="71"/>
        <v>90</v>
      </c>
      <c r="Q75" s="5">
        <f t="shared" ca="1" si="72"/>
        <v>77.638390313064988</v>
      </c>
      <c r="R75" s="5">
        <f t="shared" ca="1" si="73"/>
        <v>79.88340978013521</v>
      </c>
      <c r="S75" s="5">
        <f t="shared" ca="1" si="74"/>
        <v>74.20442050155583</v>
      </c>
      <c r="U75">
        <f t="shared" si="81"/>
        <v>6.5</v>
      </c>
      <c r="V75" s="107">
        <f t="shared" ca="1" si="75"/>
        <v>6.1257422745431001E-17</v>
      </c>
      <c r="W75" s="107">
        <f t="shared" ca="1" si="76"/>
        <v>0.21408087209458537</v>
      </c>
      <c r="X75" s="107">
        <f t="shared" ca="1" si="77"/>
        <v>0.17565178553115993</v>
      </c>
      <c r="Y75" s="107">
        <f t="shared" ca="1" si="78"/>
        <v>0.27220600889249058</v>
      </c>
      <c r="AO75">
        <f t="shared" ref="AO75" si="88">AO74+1</f>
        <v>5.5</v>
      </c>
      <c r="AP75" s="5">
        <v>69.8</v>
      </c>
      <c r="AQ75" s="5">
        <v>93.08</v>
      </c>
      <c r="AR75" s="5">
        <v>68.88</v>
      </c>
      <c r="AS75" s="5">
        <v>92.55</v>
      </c>
      <c r="AT75" s="5">
        <v>69.22</v>
      </c>
      <c r="AU75" s="5">
        <v>90.21</v>
      </c>
      <c r="AV75" s="5">
        <v>67.91</v>
      </c>
      <c r="AW75" s="5">
        <v>90.02</v>
      </c>
      <c r="AX75" s="5">
        <v>70.69</v>
      </c>
      <c r="AY75" s="5">
        <v>86.13</v>
      </c>
      <c r="AZ75" s="5">
        <v>76.45</v>
      </c>
      <c r="BA75" s="5">
        <v>79.900000000000006</v>
      </c>
      <c r="BB75">
        <f t="shared" si="83"/>
        <v>5.5</v>
      </c>
      <c r="BC75" s="5">
        <v>68.72</v>
      </c>
      <c r="BD75" s="5">
        <v>94.78</v>
      </c>
      <c r="BE75" s="5">
        <v>72.19</v>
      </c>
      <c r="BF75" s="5">
        <v>87.29</v>
      </c>
      <c r="BG75" s="5">
        <v>69.16</v>
      </c>
      <c r="BH75" s="5">
        <v>89.93</v>
      </c>
      <c r="BI75" s="5">
        <v>68.739999999999995</v>
      </c>
      <c r="BJ75" s="5">
        <v>88.81</v>
      </c>
      <c r="BK75" s="5">
        <v>71.239999999999995</v>
      </c>
      <c r="BL75" s="5">
        <v>85.02</v>
      </c>
      <c r="BM75" s="5">
        <v>67.459999999999994</v>
      </c>
      <c r="BN75" s="5">
        <v>87.45</v>
      </c>
      <c r="BO75">
        <f t="shared" si="84"/>
        <v>5.5</v>
      </c>
      <c r="BP75" s="5">
        <v>69.209999999999994</v>
      </c>
      <c r="BQ75" s="5">
        <v>91.3</v>
      </c>
      <c r="BR75">
        <v>72.03</v>
      </c>
      <c r="BS75">
        <v>86.25</v>
      </c>
      <c r="BT75" s="5">
        <v>70.66</v>
      </c>
      <c r="BU75" s="5">
        <v>87.16</v>
      </c>
      <c r="BV75" s="5">
        <v>70.77</v>
      </c>
      <c r="BW75" s="5">
        <v>86.01</v>
      </c>
      <c r="BX75" s="5">
        <v>69.28</v>
      </c>
      <c r="BY75" s="5">
        <v>86.13</v>
      </c>
      <c r="BZ75" s="7">
        <f t="shared" si="85"/>
        <v>5.5</v>
      </c>
      <c r="CA75" s="5">
        <v>73.84</v>
      </c>
      <c r="CB75" s="5">
        <v>84.11</v>
      </c>
      <c r="CC75" s="5">
        <v>72.75</v>
      </c>
      <c r="CD75" s="5">
        <v>84.98</v>
      </c>
      <c r="CE75" s="5">
        <v>75.95</v>
      </c>
      <c r="CF75" s="5">
        <v>80.650000000000006</v>
      </c>
      <c r="CG75" s="5">
        <v>71.040000000000006</v>
      </c>
      <c r="CH75" s="5">
        <v>85.63</v>
      </c>
      <c r="CI75" s="5">
        <v>72.13</v>
      </c>
      <c r="CJ75" s="5">
        <v>83.57</v>
      </c>
      <c r="CM75" s="13" t="s">
        <v>106</v>
      </c>
      <c r="CN75" s="20">
        <v>42.495489999999997</v>
      </c>
      <c r="CO75" s="20">
        <v>-96.372429999999994</v>
      </c>
      <c r="CP75" s="19">
        <v>0.34399999999999997</v>
      </c>
      <c r="CQ75" s="19">
        <v>0.38300000000000001</v>
      </c>
      <c r="CR75" s="19">
        <v>0.27100000000000002</v>
      </c>
      <c r="CS75" s="19">
        <v>0.33099999999999996</v>
      </c>
      <c r="CT75" s="98">
        <v>274.81666666666666</v>
      </c>
      <c r="CU75" s="98">
        <v>295.92777777777781</v>
      </c>
      <c r="CV75" s="98">
        <v>301.48333333333335</v>
      </c>
      <c r="CW75" s="98">
        <v>280.92777777777781</v>
      </c>
      <c r="CX75" s="104">
        <v>5</v>
      </c>
      <c r="CY75" s="104">
        <v>6</v>
      </c>
      <c r="CZ75" s="104">
        <v>7</v>
      </c>
      <c r="DA75" s="104">
        <v>8</v>
      </c>
      <c r="DB75" s="104">
        <v>2</v>
      </c>
      <c r="DG75">
        <f t="shared" si="32"/>
        <v>36</v>
      </c>
      <c r="DH75" s="5">
        <f t="shared" ca="1" si="33"/>
        <v>817.54</v>
      </c>
      <c r="DI75" s="5">
        <f t="shared" ca="1" si="34"/>
        <v>713.53</v>
      </c>
      <c r="DJ75" s="5">
        <f t="shared" ca="1" si="35"/>
        <v>705.91237232459059</v>
      </c>
      <c r="DK75" s="5">
        <f t="shared" ca="1" si="36"/>
        <v>807.67407851431278</v>
      </c>
      <c r="DL75" s="5">
        <f t="shared" ca="1" si="4"/>
        <v>48.608000000000011</v>
      </c>
      <c r="DM75" s="5">
        <f t="shared" ca="1" si="5"/>
        <v>48.27133333333331</v>
      </c>
      <c r="DN75" s="5">
        <f t="shared" ca="1" si="6"/>
        <v>47.838666666666661</v>
      </c>
      <c r="DO75" s="5">
        <f t="shared" ca="1" si="7"/>
        <v>48.020666666666678</v>
      </c>
      <c r="DP75" s="5">
        <f t="shared" ca="1" si="8"/>
        <v>21.925999999999998</v>
      </c>
      <c r="DQ75" s="5">
        <f t="shared" ca="1" si="9"/>
        <v>20.229999999999997</v>
      </c>
      <c r="DR75" s="5">
        <f t="shared" ca="1" si="10"/>
        <v>20.015999999999998</v>
      </c>
      <c r="DS75" s="5">
        <f t="shared" ca="1" si="11"/>
        <v>21.663999999999994</v>
      </c>
      <c r="DU75">
        <f t="shared" si="37"/>
        <v>36</v>
      </c>
      <c r="DV75" s="5">
        <v>936.78</v>
      </c>
      <c r="DW75" s="5">
        <v>894.9698056225551</v>
      </c>
      <c r="DX75" s="5">
        <v>885.41915722480076</v>
      </c>
      <c r="DY75" s="5">
        <v>925.47301964043208</v>
      </c>
      <c r="DZ75" s="5">
        <v>817.54</v>
      </c>
      <c r="EA75" s="5">
        <v>713.53</v>
      </c>
      <c r="EB75" s="5">
        <v>705.91237232459059</v>
      </c>
      <c r="EC75" s="5">
        <v>807.67407851431278</v>
      </c>
      <c r="EE75">
        <f t="shared" si="38"/>
        <v>36</v>
      </c>
      <c r="EF75" s="5">
        <v>28.366666666666674</v>
      </c>
      <c r="EG75" s="5">
        <v>27.103333333333325</v>
      </c>
      <c r="EH75" s="5">
        <v>26.813333333333329</v>
      </c>
      <c r="EI75" s="5">
        <v>28.025333333333332</v>
      </c>
      <c r="EJ75" s="5">
        <v>48.608000000000011</v>
      </c>
      <c r="EK75" s="5">
        <v>48.27133333333331</v>
      </c>
      <c r="EL75" s="5">
        <v>47.838666666666661</v>
      </c>
      <c r="EM75" s="5">
        <v>48.020666666666678</v>
      </c>
      <c r="EO75">
        <f t="shared" si="39"/>
        <v>36</v>
      </c>
      <c r="EP75" s="5">
        <v>21.888000000000009</v>
      </c>
      <c r="EQ75" s="5">
        <v>20.917999999999999</v>
      </c>
      <c r="ER75" s="5">
        <v>20.700000000000006</v>
      </c>
      <c r="ES75" s="5">
        <v>21.624000000000009</v>
      </c>
      <c r="ET75" s="5">
        <v>21.925999999999998</v>
      </c>
      <c r="EU75" s="5">
        <v>20.229999999999997</v>
      </c>
      <c r="EV75" s="5">
        <v>20.015999999999998</v>
      </c>
      <c r="EW75" s="5">
        <v>21.663999999999994</v>
      </c>
    </row>
    <row r="76" spans="1:153">
      <c r="I76">
        <f t="shared" si="79"/>
        <v>7.5</v>
      </c>
      <c r="J76">
        <f t="shared" ca="1" si="67"/>
        <v>0.38800036954553385</v>
      </c>
      <c r="K76">
        <f t="shared" ca="1" si="68"/>
        <v>0.44870199690237034</v>
      </c>
      <c r="L76">
        <f t="shared" ca="1" si="69"/>
        <v>0.41512096463186882</v>
      </c>
      <c r="M76">
        <f t="shared" ca="1" si="70"/>
        <v>0.50219288640389059</v>
      </c>
      <c r="O76">
        <f t="shared" si="80"/>
        <v>7.5</v>
      </c>
      <c r="P76" s="5">
        <f t="shared" ca="1" si="71"/>
        <v>67.169866354693454</v>
      </c>
      <c r="Q76" s="5">
        <f t="shared" ca="1" si="72"/>
        <v>63.339564127207275</v>
      </c>
      <c r="R76" s="5">
        <f t="shared" ca="1" si="73"/>
        <v>65.473065567664861</v>
      </c>
      <c r="S76" s="5">
        <f t="shared" ca="1" si="74"/>
        <v>59.854813444344188</v>
      </c>
      <c r="U76">
        <f t="shared" si="81"/>
        <v>7.5</v>
      </c>
      <c r="V76" s="107">
        <f t="shared" ca="1" si="75"/>
        <v>0.38800036954553385</v>
      </c>
      <c r="W76" s="107">
        <f t="shared" ca="1" si="76"/>
        <v>0.44870199690237034</v>
      </c>
      <c r="X76" s="107">
        <f t="shared" ca="1" si="77"/>
        <v>0.41512096463186887</v>
      </c>
      <c r="Y76" s="107">
        <f t="shared" ca="1" si="78"/>
        <v>0.5021928864038907</v>
      </c>
      <c r="AO76">
        <f t="shared" ref="AO76" si="89">AO75+1</f>
        <v>6.5</v>
      </c>
      <c r="AP76" s="5">
        <v>76.099999999999994</v>
      </c>
      <c r="AQ76" s="5">
        <v>80.069999999999993</v>
      </c>
      <c r="AR76" s="5">
        <v>76.239999999999995</v>
      </c>
      <c r="AS76" s="5">
        <v>80.260000000000005</v>
      </c>
      <c r="AT76" s="5">
        <v>77.540000000000006</v>
      </c>
      <c r="AU76" s="5">
        <v>78.48</v>
      </c>
      <c r="AV76" s="5">
        <v>77.25</v>
      </c>
      <c r="AW76" s="5">
        <v>79.040000000000006</v>
      </c>
      <c r="AX76" s="5">
        <v>80.48</v>
      </c>
      <c r="AY76" s="5">
        <v>75.47</v>
      </c>
      <c r="AZ76" s="5">
        <v>86.38</v>
      </c>
      <c r="BA76" s="5">
        <v>69.23</v>
      </c>
      <c r="BB76">
        <f t="shared" si="83"/>
        <v>6.5</v>
      </c>
      <c r="BC76" s="5">
        <v>75.2</v>
      </c>
      <c r="BD76" s="5">
        <v>81.93</v>
      </c>
      <c r="BE76" s="5">
        <v>79.209999999999994</v>
      </c>
      <c r="BF76" s="5">
        <v>74.03</v>
      </c>
      <c r="BG76" s="5">
        <v>77.680000000000007</v>
      </c>
      <c r="BH76" s="5">
        <v>78.3</v>
      </c>
      <c r="BI76" s="5">
        <v>78.19</v>
      </c>
      <c r="BJ76" s="5">
        <v>77.91</v>
      </c>
      <c r="BK76" s="5">
        <v>81.41</v>
      </c>
      <c r="BL76" s="5">
        <v>73.62</v>
      </c>
      <c r="BM76" s="5">
        <v>78.27</v>
      </c>
      <c r="BN76" s="5">
        <v>77.959999999999994</v>
      </c>
      <c r="BO76">
        <f t="shared" si="84"/>
        <v>6.5</v>
      </c>
      <c r="BP76" s="5">
        <v>76.91</v>
      </c>
      <c r="BQ76" s="5">
        <v>79.16</v>
      </c>
      <c r="BR76">
        <v>80.3</v>
      </c>
      <c r="BS76">
        <v>74.400000000000006</v>
      </c>
      <c r="BT76" s="5">
        <v>79.7</v>
      </c>
      <c r="BU76" s="5">
        <v>75.87</v>
      </c>
      <c r="BV76" s="5">
        <v>80.540000000000006</v>
      </c>
      <c r="BW76" s="5">
        <v>75.36</v>
      </c>
      <c r="BX76" s="5">
        <v>79.95</v>
      </c>
      <c r="BY76" s="5">
        <v>76.37</v>
      </c>
      <c r="BZ76" s="7">
        <f t="shared" si="85"/>
        <v>6.5</v>
      </c>
      <c r="CA76" s="5">
        <v>81.39</v>
      </c>
      <c r="CB76" s="5">
        <v>71.77</v>
      </c>
      <c r="CC76" s="5">
        <v>81.23</v>
      </c>
      <c r="CD76" s="5">
        <v>73.34</v>
      </c>
      <c r="CE76" s="5">
        <v>84.95</v>
      </c>
      <c r="CF76" s="5">
        <v>69.239999999999995</v>
      </c>
      <c r="CG76" s="5">
        <v>80.88</v>
      </c>
      <c r="CH76" s="5">
        <v>75.02</v>
      </c>
      <c r="CI76" s="5">
        <v>82.79</v>
      </c>
      <c r="CJ76" s="5">
        <v>73.67</v>
      </c>
      <c r="CM76" s="13" t="s">
        <v>107</v>
      </c>
      <c r="CN76" s="20">
        <v>43.608490000000003</v>
      </c>
      <c r="CO76" s="20">
        <v>-116.23133</v>
      </c>
      <c r="CP76" s="19">
        <v>0.38199999999999995</v>
      </c>
      <c r="CQ76" s="19">
        <v>0.35100000000000003</v>
      </c>
      <c r="CR76" s="19">
        <v>0.19</v>
      </c>
      <c r="CS76" s="19">
        <v>0.35399999999999998</v>
      </c>
      <c r="CT76" s="98">
        <v>280.37222222222221</v>
      </c>
      <c r="CU76" s="98">
        <v>295.37222222222226</v>
      </c>
      <c r="CV76" s="98">
        <v>305.37222222222226</v>
      </c>
      <c r="CW76" s="98">
        <v>282.03888888888889</v>
      </c>
      <c r="CX76" s="104">
        <v>1</v>
      </c>
      <c r="CY76" s="104">
        <v>2</v>
      </c>
      <c r="CZ76" s="104">
        <v>3</v>
      </c>
      <c r="DA76" s="104">
        <v>4</v>
      </c>
      <c r="DB76" s="104">
        <v>1</v>
      </c>
      <c r="DG76">
        <f t="shared" si="32"/>
        <v>37</v>
      </c>
      <c r="DH76" s="5">
        <f t="shared" ca="1" si="33"/>
        <v>813.27</v>
      </c>
      <c r="DI76" s="5">
        <f t="shared" ca="1" si="34"/>
        <v>709.38</v>
      </c>
      <c r="DJ76" s="5">
        <f t="shared" ca="1" si="35"/>
        <v>701.80667761638347</v>
      </c>
      <c r="DK76" s="5">
        <f t="shared" ca="1" si="36"/>
        <v>803.45560808441815</v>
      </c>
      <c r="DL76" s="5">
        <f t="shared" ca="1" si="4"/>
        <v>47.446000000000012</v>
      </c>
      <c r="DM76" s="5">
        <f t="shared" ca="1" si="5"/>
        <v>47.13766666666664</v>
      </c>
      <c r="DN76" s="5">
        <f t="shared" ca="1" si="6"/>
        <v>46.695666666666661</v>
      </c>
      <c r="DO76" s="5">
        <f t="shared" ca="1" si="7"/>
        <v>46.873000000000012</v>
      </c>
      <c r="DP76" s="5">
        <f t="shared" ca="1" si="8"/>
        <v>21.326999999999998</v>
      </c>
      <c r="DQ76" s="5">
        <f t="shared" ca="1" si="9"/>
        <v>19.679999999999996</v>
      </c>
      <c r="DR76" s="5">
        <f t="shared" ca="1" si="10"/>
        <v>19.471999999999998</v>
      </c>
      <c r="DS76" s="5">
        <f t="shared" ca="1" si="11"/>
        <v>21.072999999999993</v>
      </c>
      <c r="DU76">
        <f t="shared" si="37"/>
        <v>37</v>
      </c>
      <c r="DV76" s="5">
        <v>933.58</v>
      </c>
      <c r="DW76" s="5">
        <v>891.91262743985249</v>
      </c>
      <c r="DX76" s="5">
        <v>882.39460364432375</v>
      </c>
      <c r="DY76" s="5">
        <v>922.31164379674487</v>
      </c>
      <c r="DZ76" s="5">
        <v>813.27</v>
      </c>
      <c r="EA76" s="5">
        <v>709.38</v>
      </c>
      <c r="EB76" s="5">
        <v>701.80667761638347</v>
      </c>
      <c r="EC76" s="5">
        <v>803.45560808441815</v>
      </c>
      <c r="EE76">
        <f t="shared" si="38"/>
        <v>37</v>
      </c>
      <c r="EF76" s="5">
        <v>27.763333333333343</v>
      </c>
      <c r="EG76" s="5">
        <v>26.526666666666657</v>
      </c>
      <c r="EH76" s="5">
        <v>26.243333333333329</v>
      </c>
      <c r="EI76" s="5">
        <v>27.428999999999998</v>
      </c>
      <c r="EJ76" s="5">
        <v>47.446000000000012</v>
      </c>
      <c r="EK76" s="5">
        <v>47.13766666666664</v>
      </c>
      <c r="EL76" s="5">
        <v>46.695666666666661</v>
      </c>
      <c r="EM76" s="5">
        <v>46.873000000000012</v>
      </c>
      <c r="EO76">
        <f t="shared" si="39"/>
        <v>37</v>
      </c>
      <c r="EP76" s="5">
        <v>21.29600000000001</v>
      </c>
      <c r="EQ76" s="5">
        <v>20.350999999999999</v>
      </c>
      <c r="ER76" s="5">
        <v>20.140000000000008</v>
      </c>
      <c r="ES76" s="5">
        <v>21.038000000000011</v>
      </c>
      <c r="ET76" s="5">
        <v>21.326999999999998</v>
      </c>
      <c r="EU76" s="5">
        <v>19.679999999999996</v>
      </c>
      <c r="EV76" s="5">
        <v>19.471999999999998</v>
      </c>
      <c r="EW76" s="5">
        <v>21.072999999999993</v>
      </c>
    </row>
    <row r="77" spans="1:153">
      <c r="I77">
        <f t="shared" si="79"/>
        <v>8.5</v>
      </c>
      <c r="J77">
        <f t="shared" ca="1" si="67"/>
        <v>0.60262803940925769</v>
      </c>
      <c r="K77">
        <f t="shared" ca="1" si="68"/>
        <v>0.65258518236681851</v>
      </c>
      <c r="L77">
        <f t="shared" ca="1" si="69"/>
        <v>0.62303873034483703</v>
      </c>
      <c r="M77">
        <f t="shared" ca="1" si="70"/>
        <v>0.68353436418039393</v>
      </c>
      <c r="O77">
        <f t="shared" si="80"/>
        <v>8.5</v>
      </c>
      <c r="P77" s="5">
        <f t="shared" ca="1" si="71"/>
        <v>52.94165011620111</v>
      </c>
      <c r="Q77" s="5">
        <f t="shared" ca="1" si="72"/>
        <v>49.263201688599459</v>
      </c>
      <c r="R77" s="5">
        <f t="shared" ca="1" si="73"/>
        <v>51.461620177920175</v>
      </c>
      <c r="S77" s="5">
        <f t="shared" ca="1" si="74"/>
        <v>46.87954806666135</v>
      </c>
      <c r="U77">
        <f t="shared" si="81"/>
        <v>8.5</v>
      </c>
      <c r="V77" s="107">
        <f t="shared" ca="1" si="75"/>
        <v>0.6026280394092578</v>
      </c>
      <c r="W77" s="107">
        <f t="shared" ca="1" si="76"/>
        <v>0.65258518236681862</v>
      </c>
      <c r="X77" s="107">
        <f t="shared" ca="1" si="77"/>
        <v>0.62303873034483703</v>
      </c>
      <c r="Y77" s="107">
        <f t="shared" ca="1" si="78"/>
        <v>0.68353436418039393</v>
      </c>
      <c r="AO77">
        <f t="shared" ref="AO77" si="90">AO76+1</f>
        <v>7.5</v>
      </c>
      <c r="AP77" s="5">
        <v>81.87</v>
      </c>
      <c r="AQ77" s="5">
        <v>66.81</v>
      </c>
      <c r="AR77" s="5">
        <v>83.17</v>
      </c>
      <c r="AS77" s="5">
        <v>67.48</v>
      </c>
      <c r="AT77" s="5">
        <v>85.64</v>
      </c>
      <c r="AU77" s="5">
        <v>66.31</v>
      </c>
      <c r="AV77" s="5">
        <v>86.42</v>
      </c>
      <c r="AW77" s="5">
        <v>67.7</v>
      </c>
      <c r="AX77" s="5">
        <v>90.39</v>
      </c>
      <c r="AY77" s="5">
        <v>64.540000000000006</v>
      </c>
      <c r="AZ77" s="5">
        <v>96.91</v>
      </c>
      <c r="BA77" s="5">
        <v>58.34</v>
      </c>
      <c r="BB77">
        <f t="shared" si="83"/>
        <v>7.5</v>
      </c>
      <c r="BC77" s="5">
        <v>81.069999999999993</v>
      </c>
      <c r="BD77" s="5">
        <v>68.819999999999993</v>
      </c>
      <c r="BE77" s="5">
        <v>86.08</v>
      </c>
      <c r="BF77" s="5">
        <v>61.83</v>
      </c>
      <c r="BG77" s="5">
        <v>86</v>
      </c>
      <c r="BH77" s="5">
        <v>66.319999999999993</v>
      </c>
      <c r="BI77" s="5">
        <v>87.57</v>
      </c>
      <c r="BJ77" s="5">
        <v>66.650000000000006</v>
      </c>
      <c r="BK77" s="5">
        <v>91.8</v>
      </c>
      <c r="BL77" s="5">
        <v>64.180000000000007</v>
      </c>
      <c r="BM77" s="5">
        <v>89.12</v>
      </c>
      <c r="BN77" s="5">
        <v>67.98</v>
      </c>
      <c r="BO77">
        <f t="shared" si="84"/>
        <v>7.5</v>
      </c>
      <c r="BP77" s="5">
        <v>84.29</v>
      </c>
      <c r="BQ77" s="5">
        <v>66.650000000000006</v>
      </c>
      <c r="BR77">
        <v>88.61</v>
      </c>
      <c r="BS77">
        <v>61.86</v>
      </c>
      <c r="BT77" s="5">
        <v>88.75</v>
      </c>
      <c r="BU77" s="5">
        <v>64.319999999999993</v>
      </c>
      <c r="BV77" s="5">
        <v>90.44</v>
      </c>
      <c r="BW77" s="5">
        <v>64.55</v>
      </c>
      <c r="BX77" s="5">
        <v>90.75</v>
      </c>
      <c r="BY77" s="5">
        <v>66.260000000000005</v>
      </c>
      <c r="BZ77" s="7">
        <f t="shared" si="85"/>
        <v>7.5</v>
      </c>
      <c r="CA77" s="5">
        <v>89.04</v>
      </c>
      <c r="CB77" s="5">
        <v>59.22</v>
      </c>
      <c r="CC77" s="5">
        <v>89.83</v>
      </c>
      <c r="CD77" s="5">
        <v>61.22</v>
      </c>
      <c r="CE77" s="5">
        <v>94.43</v>
      </c>
      <c r="CF77" s="5">
        <v>57.57</v>
      </c>
      <c r="CG77" s="5">
        <v>90.88</v>
      </c>
      <c r="CH77" s="5">
        <v>64.41</v>
      </c>
      <c r="CI77" s="5">
        <v>93.76</v>
      </c>
      <c r="CJ77" s="5">
        <v>63.6</v>
      </c>
      <c r="CM77" s="13" t="s">
        <v>108</v>
      </c>
      <c r="CN77" s="20">
        <v>46.379359999999998</v>
      </c>
      <c r="CO77" s="20">
        <v>-117.01649</v>
      </c>
      <c r="CP77" s="19">
        <v>0.435</v>
      </c>
      <c r="CQ77" s="19">
        <v>0.432</v>
      </c>
      <c r="CR77" s="19">
        <v>0.25800000000000001</v>
      </c>
      <c r="CS77" s="19">
        <v>0.45799999999999996</v>
      </c>
      <c r="CT77" s="98">
        <v>281.48333333333335</v>
      </c>
      <c r="CU77" s="98">
        <v>294.81666666666672</v>
      </c>
      <c r="CV77" s="98">
        <v>304.81666666666672</v>
      </c>
      <c r="CW77" s="98">
        <v>282.03888888888889</v>
      </c>
      <c r="CX77" s="104">
        <v>1</v>
      </c>
      <c r="CY77" s="104">
        <v>2</v>
      </c>
      <c r="CZ77" s="104">
        <v>3</v>
      </c>
      <c r="DA77" s="104">
        <v>4</v>
      </c>
      <c r="DB77" s="104">
        <v>1</v>
      </c>
      <c r="DG77">
        <f t="shared" si="32"/>
        <v>38</v>
      </c>
      <c r="DH77" s="5">
        <f t="shared" ca="1" si="33"/>
        <v>808.87</v>
      </c>
      <c r="DI77" s="5">
        <f t="shared" ca="1" si="34"/>
        <v>705.09</v>
      </c>
      <c r="DJ77" s="5">
        <f t="shared" ca="1" si="35"/>
        <v>697.56247754452602</v>
      </c>
      <c r="DK77" s="5">
        <f t="shared" ca="1" si="36"/>
        <v>799.10870647047523</v>
      </c>
      <c r="DL77" s="5">
        <f t="shared" ca="1" si="4"/>
        <v>46.284000000000013</v>
      </c>
      <c r="DM77" s="5">
        <f t="shared" ca="1" si="5"/>
        <v>46.003999999999969</v>
      </c>
      <c r="DN77" s="5">
        <f t="shared" ca="1" si="6"/>
        <v>45.55266666666666</v>
      </c>
      <c r="DO77" s="5">
        <f t="shared" ca="1" si="7"/>
        <v>45.725333333333346</v>
      </c>
      <c r="DP77" s="5">
        <f t="shared" ca="1" si="8"/>
        <v>20.727999999999998</v>
      </c>
      <c r="DQ77" s="5">
        <f t="shared" ca="1" si="9"/>
        <v>19.129999999999995</v>
      </c>
      <c r="DR77" s="5">
        <f t="shared" ca="1" si="10"/>
        <v>18.927999999999997</v>
      </c>
      <c r="DS77" s="5">
        <f t="shared" ca="1" si="11"/>
        <v>20.481999999999992</v>
      </c>
      <c r="DU77">
        <f t="shared" si="37"/>
        <v>38</v>
      </c>
      <c r="DV77" s="5">
        <v>930.22</v>
      </c>
      <c r="DW77" s="5">
        <v>888.70259034801472</v>
      </c>
      <c r="DX77" s="5">
        <v>879.21882238482272</v>
      </c>
      <c r="DY77" s="5">
        <v>918.99219916087316</v>
      </c>
      <c r="DZ77" s="5">
        <v>808.87</v>
      </c>
      <c r="EA77" s="5">
        <v>705.09</v>
      </c>
      <c r="EB77" s="5">
        <v>697.56247754452602</v>
      </c>
      <c r="EC77" s="5">
        <v>799.10870647047523</v>
      </c>
      <c r="EE77">
        <f t="shared" si="38"/>
        <v>38</v>
      </c>
      <c r="EF77" s="5">
        <v>27.160000000000011</v>
      </c>
      <c r="EG77" s="5">
        <v>25.949999999999989</v>
      </c>
      <c r="EH77" s="5">
        <v>25.673333333333328</v>
      </c>
      <c r="EI77" s="5">
        <v>26.832666666666665</v>
      </c>
      <c r="EJ77" s="5">
        <v>46.284000000000013</v>
      </c>
      <c r="EK77" s="5">
        <v>46.003999999999969</v>
      </c>
      <c r="EL77" s="5">
        <v>45.55266666666666</v>
      </c>
      <c r="EM77" s="5">
        <v>45.725333333333346</v>
      </c>
      <c r="EO77">
        <f t="shared" si="39"/>
        <v>38</v>
      </c>
      <c r="EP77" s="5">
        <v>20.704000000000011</v>
      </c>
      <c r="EQ77" s="5">
        <v>19.783999999999999</v>
      </c>
      <c r="ER77" s="5">
        <v>19.580000000000009</v>
      </c>
      <c r="ES77" s="5">
        <v>20.452000000000012</v>
      </c>
      <c r="ET77" s="5">
        <v>20.727999999999998</v>
      </c>
      <c r="EU77" s="5">
        <v>19.129999999999995</v>
      </c>
      <c r="EV77" s="5">
        <v>18.927999999999997</v>
      </c>
      <c r="EW77" s="5">
        <v>20.481999999999992</v>
      </c>
    </row>
    <row r="78" spans="1:153">
      <c r="I78">
        <f t="shared" si="79"/>
        <v>9.5</v>
      </c>
      <c r="J78">
        <f t="shared" ca="1" si="67"/>
        <v>0.77587659187296554</v>
      </c>
      <c r="K78">
        <f t="shared" ca="1" si="68"/>
        <v>0.81045844204305517</v>
      </c>
      <c r="L78">
        <f t="shared" ca="1" si="69"/>
        <v>0.78958065138909428</v>
      </c>
      <c r="M78">
        <f t="shared" ca="1" si="70"/>
        <v>0.84403155738572377</v>
      </c>
      <c r="O78">
        <f t="shared" si="80"/>
        <v>9.5</v>
      </c>
      <c r="P78" s="5">
        <f t="shared" ca="1" si="71"/>
        <v>39.115424854718064</v>
      </c>
      <c r="Q78" s="5">
        <f t="shared" ca="1" si="72"/>
        <v>35.859253347030901</v>
      </c>
      <c r="R78" s="5">
        <f t="shared" ca="1" si="73"/>
        <v>37.853660029602246</v>
      </c>
      <c r="S78" s="5">
        <f t="shared" ca="1" si="74"/>
        <v>32.431676746938962</v>
      </c>
      <c r="U78">
        <f t="shared" si="81"/>
        <v>9.5</v>
      </c>
      <c r="V78" s="107">
        <f t="shared" ca="1" si="75"/>
        <v>0.77587659187296554</v>
      </c>
      <c r="W78" s="107">
        <f t="shared" ca="1" si="76"/>
        <v>0.81045844204305528</v>
      </c>
      <c r="X78" s="107">
        <f t="shared" ca="1" si="77"/>
        <v>0.78958065138909428</v>
      </c>
      <c r="Y78" s="107">
        <f t="shared" ca="1" si="78"/>
        <v>0.84403155738572389</v>
      </c>
      <c r="AO78">
        <f t="shared" ref="AO78" si="91">AO77+1</f>
        <v>8.5</v>
      </c>
      <c r="AP78" s="5">
        <v>87.7</v>
      </c>
      <c r="AQ78" s="5">
        <v>53.38</v>
      </c>
      <c r="AR78" s="5">
        <v>90.37</v>
      </c>
      <c r="AS78" s="5">
        <v>54.59</v>
      </c>
      <c r="AT78" s="5">
        <v>94.3</v>
      </c>
      <c r="AU78" s="5">
        <v>54.09</v>
      </c>
      <c r="AV78" s="5">
        <v>96.23</v>
      </c>
      <c r="AW78" s="5">
        <v>56.17</v>
      </c>
      <c r="AX78" s="5">
        <v>101.29</v>
      </c>
      <c r="AY78" s="5">
        <v>53.59</v>
      </c>
      <c r="AZ78" s="5">
        <v>109.14</v>
      </c>
      <c r="BA78" s="5">
        <v>47.7</v>
      </c>
      <c r="BB78">
        <f t="shared" si="83"/>
        <v>8.5</v>
      </c>
      <c r="BC78" s="5">
        <v>86.92</v>
      </c>
      <c r="BD78" s="5">
        <v>55.41</v>
      </c>
      <c r="BE78" s="5">
        <v>93.58</v>
      </c>
      <c r="BF78" s="5">
        <v>48.85</v>
      </c>
      <c r="BG78" s="5">
        <v>94.92</v>
      </c>
      <c r="BH78" s="5">
        <v>54.2</v>
      </c>
      <c r="BI78" s="5">
        <v>97.69</v>
      </c>
      <c r="BJ78" s="5">
        <v>55.29</v>
      </c>
      <c r="BK78" s="5">
        <v>103.27</v>
      </c>
      <c r="BL78" s="5">
        <v>53.58</v>
      </c>
      <c r="BM78" s="5">
        <v>100.74</v>
      </c>
      <c r="BN78" s="5">
        <v>58.01</v>
      </c>
      <c r="BO78">
        <f t="shared" si="84"/>
        <v>8.5</v>
      </c>
      <c r="BP78" s="5">
        <v>92.08</v>
      </c>
      <c r="BQ78" s="5">
        <v>54.02</v>
      </c>
      <c r="BR78">
        <v>97.83</v>
      </c>
      <c r="BS78">
        <v>50.12</v>
      </c>
      <c r="BT78" s="5">
        <v>98.69</v>
      </c>
      <c r="BU78" s="5">
        <v>52.75</v>
      </c>
      <c r="BV78" s="5">
        <v>101.34</v>
      </c>
      <c r="BW78" s="5">
        <v>53.49</v>
      </c>
      <c r="BX78" s="5">
        <v>102.47</v>
      </c>
      <c r="BY78" s="5">
        <v>56.15</v>
      </c>
      <c r="BZ78" s="7">
        <f t="shared" si="85"/>
        <v>8.5</v>
      </c>
      <c r="CA78" s="5">
        <v>97.74</v>
      </c>
      <c r="CB78" s="5">
        <v>46.35</v>
      </c>
      <c r="CC78" s="5">
        <v>99.5</v>
      </c>
      <c r="CD78" s="5">
        <v>48.91</v>
      </c>
      <c r="CE78" s="5">
        <v>105.52</v>
      </c>
      <c r="CF78" s="5">
        <v>46.16</v>
      </c>
      <c r="CG78" s="5">
        <v>101.91</v>
      </c>
      <c r="CH78" s="5">
        <v>53.26</v>
      </c>
      <c r="CI78" s="5">
        <v>105.92</v>
      </c>
      <c r="CJ78" s="5">
        <v>53.69</v>
      </c>
      <c r="CM78" s="13" t="s">
        <v>109</v>
      </c>
      <c r="CN78" s="20">
        <v>42.860550000000003</v>
      </c>
      <c r="CO78" s="20">
        <v>-112.42555</v>
      </c>
      <c r="CP78" s="19">
        <v>0.36999999999999994</v>
      </c>
      <c r="CQ78" s="19">
        <v>0.36300000000000004</v>
      </c>
      <c r="CR78" s="19">
        <v>0.254</v>
      </c>
      <c r="CS78" s="19">
        <v>0.34899999999999998</v>
      </c>
      <c r="CT78" s="98">
        <v>276.48333333333335</v>
      </c>
      <c r="CU78" s="98">
        <v>293.15000000000003</v>
      </c>
      <c r="CV78" s="98">
        <v>303.70555555555558</v>
      </c>
      <c r="CW78" s="98">
        <v>279.81666666666666</v>
      </c>
      <c r="CX78" s="104">
        <v>1</v>
      </c>
      <c r="CY78" s="104">
        <v>2</v>
      </c>
      <c r="CZ78" s="104">
        <v>3</v>
      </c>
      <c r="DA78" s="104">
        <v>4</v>
      </c>
      <c r="DB78" s="104">
        <v>1</v>
      </c>
      <c r="DG78">
        <f t="shared" si="32"/>
        <v>39</v>
      </c>
      <c r="DH78" s="5">
        <f t="shared" ca="1" si="33"/>
        <v>804.19</v>
      </c>
      <c r="DI78" s="5">
        <f t="shared" ca="1" si="34"/>
        <v>700.48</v>
      </c>
      <c r="DJ78" s="5">
        <f t="shared" ca="1" si="35"/>
        <v>693.00169378432474</v>
      </c>
      <c r="DK78" s="5">
        <f t="shared" ca="1" si="36"/>
        <v>794.48518384473584</v>
      </c>
      <c r="DL78" s="5">
        <f t="shared" ca="1" si="4"/>
        <v>45.122000000000014</v>
      </c>
      <c r="DM78" s="5">
        <f t="shared" ca="1" si="5"/>
        <v>44.870333333333299</v>
      </c>
      <c r="DN78" s="5">
        <f t="shared" ca="1" si="6"/>
        <v>44.409666666666659</v>
      </c>
      <c r="DO78" s="5">
        <f t="shared" ca="1" si="7"/>
        <v>44.57766666666668</v>
      </c>
      <c r="DP78" s="5">
        <f t="shared" ca="1" si="8"/>
        <v>20.128999999999998</v>
      </c>
      <c r="DQ78" s="5">
        <f t="shared" ca="1" si="9"/>
        <v>18.579999999999995</v>
      </c>
      <c r="DR78" s="5">
        <f t="shared" ca="1" si="10"/>
        <v>18.383999999999997</v>
      </c>
      <c r="DS78" s="5">
        <f t="shared" ca="1" si="11"/>
        <v>19.890999999999991</v>
      </c>
      <c r="DU78">
        <f t="shared" si="37"/>
        <v>39</v>
      </c>
      <c r="DV78" s="5">
        <v>926.71</v>
      </c>
      <c r="DW78" s="5">
        <v>885.3492480288628</v>
      </c>
      <c r="DX78" s="5">
        <v>875.90126517623685</v>
      </c>
      <c r="DY78" s="5">
        <v>915.52456503232872</v>
      </c>
      <c r="DZ78" s="5">
        <v>804.19</v>
      </c>
      <c r="EA78" s="5">
        <v>700.48</v>
      </c>
      <c r="EB78" s="5">
        <v>693.00169378432474</v>
      </c>
      <c r="EC78" s="5">
        <v>794.48518384473584</v>
      </c>
      <c r="EE78">
        <f t="shared" si="38"/>
        <v>39</v>
      </c>
      <c r="EF78" s="5">
        <v>26.556666666666679</v>
      </c>
      <c r="EG78" s="5">
        <v>25.373333333333321</v>
      </c>
      <c r="EH78" s="5">
        <v>25.103333333333328</v>
      </c>
      <c r="EI78" s="5">
        <v>26.236333333333331</v>
      </c>
      <c r="EJ78" s="5">
        <v>45.122000000000014</v>
      </c>
      <c r="EK78" s="5">
        <v>44.870333333333299</v>
      </c>
      <c r="EL78" s="5">
        <v>44.409666666666659</v>
      </c>
      <c r="EM78" s="5">
        <v>44.57766666666668</v>
      </c>
      <c r="EO78">
        <f t="shared" si="39"/>
        <v>39</v>
      </c>
      <c r="EP78" s="5">
        <v>20.112000000000013</v>
      </c>
      <c r="EQ78" s="5">
        <v>19.216999999999999</v>
      </c>
      <c r="ER78" s="5">
        <v>19.02000000000001</v>
      </c>
      <c r="ES78" s="5">
        <v>19.866000000000014</v>
      </c>
      <c r="ET78" s="5">
        <v>20.128999999999998</v>
      </c>
      <c r="EU78" s="5">
        <v>18.579999999999995</v>
      </c>
      <c r="EV78" s="5">
        <v>18.383999999999997</v>
      </c>
      <c r="EW78" s="5">
        <v>19.890999999999991</v>
      </c>
    </row>
    <row r="79" spans="1:153">
      <c r="I79">
        <f t="shared" si="79"/>
        <v>10.5</v>
      </c>
      <c r="J79">
        <f t="shared" ca="1" si="67"/>
        <v>0.8964799753149908</v>
      </c>
      <c r="K79">
        <f t="shared" ca="1" si="68"/>
        <v>0.91417382015485305</v>
      </c>
      <c r="L79">
        <f t="shared" ca="1" si="69"/>
        <v>0.90236333641246969</v>
      </c>
      <c r="M79">
        <f t="shared" ca="1" si="70"/>
        <v>0.93723700158187162</v>
      </c>
      <c r="O79">
        <f t="shared" si="80"/>
        <v>10.5</v>
      </c>
      <c r="P79" s="5">
        <f t="shared" ca="1" si="71"/>
        <v>26.300834725288585</v>
      </c>
      <c r="Q79" s="5">
        <f t="shared" ca="1" si="72"/>
        <v>23.911330304740616</v>
      </c>
      <c r="R79" s="5">
        <f t="shared" ca="1" si="73"/>
        <v>25.529522620122577</v>
      </c>
      <c r="S79" s="5">
        <f t="shared" ca="1" si="74"/>
        <v>20.407393508130404</v>
      </c>
      <c r="U79">
        <f t="shared" si="81"/>
        <v>10.5</v>
      </c>
      <c r="V79" s="107">
        <f t="shared" ca="1" si="75"/>
        <v>0.8964799753149908</v>
      </c>
      <c r="W79" s="107">
        <f t="shared" ca="1" si="76"/>
        <v>0.91417382015485305</v>
      </c>
      <c r="X79" s="107">
        <f t="shared" ca="1" si="77"/>
        <v>0.90236333641246969</v>
      </c>
      <c r="Y79" s="107">
        <f t="shared" ca="1" si="78"/>
        <v>0.93723700158187162</v>
      </c>
      <c r="AO79">
        <f t="shared" ref="AO79" si="92">AO78+1</f>
        <v>9.5</v>
      </c>
      <c r="AP79" s="5">
        <v>94.49</v>
      </c>
      <c r="AQ79" s="5">
        <v>40.1</v>
      </c>
      <c r="AR79" s="5">
        <v>98.91</v>
      </c>
      <c r="AS79" s="5">
        <v>41.71</v>
      </c>
      <c r="AT79" s="5">
        <v>104.8</v>
      </c>
      <c r="AU79" s="5">
        <v>41.96</v>
      </c>
      <c r="AV79" s="5">
        <v>107.87</v>
      </c>
      <c r="AW79" s="5">
        <v>45.08</v>
      </c>
      <c r="AX79" s="5">
        <v>114.53</v>
      </c>
      <c r="AY79" s="5">
        <v>43.13</v>
      </c>
      <c r="AZ79" s="5">
        <v>124.81</v>
      </c>
      <c r="BA79" s="5">
        <v>38.229999999999997</v>
      </c>
      <c r="BB79">
        <f t="shared" si="83"/>
        <v>9.5</v>
      </c>
      <c r="BC79" s="5">
        <v>93.56</v>
      </c>
      <c r="BD79" s="5">
        <v>41.92</v>
      </c>
      <c r="BE79" s="5">
        <v>103.18</v>
      </c>
      <c r="BF79" s="5">
        <v>36.07</v>
      </c>
      <c r="BG79" s="5">
        <v>105.73</v>
      </c>
      <c r="BH79" s="5">
        <v>42.3</v>
      </c>
      <c r="BI79" s="5">
        <v>109.8</v>
      </c>
      <c r="BJ79" s="5">
        <v>44.28</v>
      </c>
      <c r="BK79" s="5">
        <v>117.12</v>
      </c>
      <c r="BL79" s="5">
        <v>43.7</v>
      </c>
      <c r="BM79" s="5">
        <v>114.17</v>
      </c>
      <c r="BN79" s="5">
        <v>48.47</v>
      </c>
      <c r="BO79">
        <f t="shared" si="84"/>
        <v>9.5</v>
      </c>
      <c r="BP79" s="5">
        <v>101.47</v>
      </c>
      <c r="BQ79" s="5">
        <v>41.36</v>
      </c>
      <c r="BR79">
        <v>109.58</v>
      </c>
      <c r="BS79">
        <v>38.28</v>
      </c>
      <c r="BT79" s="5">
        <v>110.95</v>
      </c>
      <c r="BU79" s="5">
        <v>41.42</v>
      </c>
      <c r="BV79" s="5">
        <v>114.6</v>
      </c>
      <c r="BW79" s="5">
        <v>43.02</v>
      </c>
      <c r="BX79" s="5">
        <v>116.23</v>
      </c>
      <c r="BY79" s="5">
        <v>46.65</v>
      </c>
      <c r="BZ79" s="7">
        <f t="shared" si="85"/>
        <v>9.5</v>
      </c>
      <c r="CA79" s="5">
        <v>109.35</v>
      </c>
      <c r="CB79" s="5">
        <v>34.26</v>
      </c>
      <c r="CC79" s="5">
        <v>111.92</v>
      </c>
      <c r="CD79" s="5">
        <v>37.79</v>
      </c>
      <c r="CE79" s="5">
        <v>120.29</v>
      </c>
      <c r="CF79" s="5">
        <v>35.42</v>
      </c>
      <c r="CG79" s="5">
        <v>115.34</v>
      </c>
      <c r="CH79" s="5">
        <v>42.91</v>
      </c>
      <c r="CI79" s="5">
        <v>120.48</v>
      </c>
      <c r="CJ79" s="5">
        <v>44.34</v>
      </c>
      <c r="CM79" s="13" t="s">
        <v>110</v>
      </c>
      <c r="CN79" s="20">
        <v>37.010269999999998</v>
      </c>
      <c r="CO79" s="20">
        <v>-89.186220000000006</v>
      </c>
      <c r="CP79" s="19">
        <v>0.373</v>
      </c>
      <c r="CQ79" s="19">
        <v>0.38100000000000001</v>
      </c>
      <c r="CR79" s="19">
        <v>0.30399999999999999</v>
      </c>
      <c r="CS79" s="19">
        <v>0.31800000000000006</v>
      </c>
      <c r="CT79" s="98">
        <v>282.03888888888889</v>
      </c>
      <c r="CU79" s="98">
        <v>298.70555555555558</v>
      </c>
      <c r="CV79" s="98">
        <v>304.26111111111112</v>
      </c>
      <c r="CW79" s="98">
        <v>287.59444444444449</v>
      </c>
      <c r="CX79" s="104">
        <v>5</v>
      </c>
      <c r="CY79" s="104">
        <v>6</v>
      </c>
      <c r="CZ79" s="104">
        <v>7</v>
      </c>
      <c r="DA79" s="104">
        <v>8</v>
      </c>
      <c r="DB79" s="104">
        <v>2</v>
      </c>
      <c r="DG79">
        <f t="shared" si="32"/>
        <v>40</v>
      </c>
      <c r="DH79" s="5">
        <f t="shared" ca="1" si="33"/>
        <v>799.44</v>
      </c>
      <c r="DI79" s="5">
        <f t="shared" ca="1" si="34"/>
        <v>695.82</v>
      </c>
      <c r="DJ79" s="5">
        <f t="shared" ca="1" si="35"/>
        <v>688.39144382281995</v>
      </c>
      <c r="DK79" s="5">
        <f t="shared" ca="1" si="36"/>
        <v>789.79250596604743</v>
      </c>
      <c r="DL79" s="5">
        <f t="shared" ca="1" si="4"/>
        <v>43.96</v>
      </c>
      <c r="DM79" s="5">
        <f t="shared" ca="1" si="5"/>
        <v>43.736666666666657</v>
      </c>
      <c r="DN79" s="5">
        <f t="shared" ca="1" si="6"/>
        <v>43.266666666666673</v>
      </c>
      <c r="DO79" s="5">
        <f t="shared" ca="1" si="7"/>
        <v>43.430000000000007</v>
      </c>
      <c r="DP79" s="5">
        <f t="shared" ca="1" si="8"/>
        <v>19.53</v>
      </c>
      <c r="DQ79" s="5">
        <f t="shared" ca="1" si="9"/>
        <v>18.03</v>
      </c>
      <c r="DR79" s="5">
        <f t="shared" ca="1" si="10"/>
        <v>17.84</v>
      </c>
      <c r="DS79" s="5">
        <f t="shared" ca="1" si="11"/>
        <v>19.3</v>
      </c>
      <c r="DU79">
        <f t="shared" si="37"/>
        <v>40</v>
      </c>
      <c r="DV79" s="5">
        <v>923.08</v>
      </c>
      <c r="DW79" s="5">
        <v>881.88126152785958</v>
      </c>
      <c r="DX79" s="5">
        <v>872.47028720838318</v>
      </c>
      <c r="DY79" s="5">
        <v>911.93837930964605</v>
      </c>
      <c r="DZ79" s="5">
        <v>799.44</v>
      </c>
      <c r="EA79" s="5">
        <v>695.82</v>
      </c>
      <c r="EB79" s="5">
        <v>688.39144382281995</v>
      </c>
      <c r="EC79" s="5">
        <v>789.79250596604743</v>
      </c>
      <c r="EE79">
        <f t="shared" si="38"/>
        <v>40</v>
      </c>
      <c r="EF79" s="5">
        <v>25.953333333333333</v>
      </c>
      <c r="EG79" s="5">
        <v>24.796666666666667</v>
      </c>
      <c r="EH79" s="5">
        <v>24.533333333333331</v>
      </c>
      <c r="EI79" s="5">
        <v>25.639999999999997</v>
      </c>
      <c r="EJ79" s="5">
        <v>43.96</v>
      </c>
      <c r="EK79" s="5">
        <v>43.736666666666657</v>
      </c>
      <c r="EL79" s="5">
        <v>43.266666666666673</v>
      </c>
      <c r="EM79" s="5">
        <v>43.430000000000007</v>
      </c>
      <c r="EO79">
        <f t="shared" si="39"/>
        <v>40</v>
      </c>
      <c r="EP79" s="5">
        <v>19.52</v>
      </c>
      <c r="EQ79" s="5">
        <v>18.649999999999999</v>
      </c>
      <c r="ER79" s="5">
        <v>18.46</v>
      </c>
      <c r="ES79" s="5">
        <v>19.28</v>
      </c>
      <c r="ET79" s="5">
        <v>19.53</v>
      </c>
      <c r="EU79" s="5">
        <v>18.03</v>
      </c>
      <c r="EV79" s="5">
        <v>17.84</v>
      </c>
      <c r="EW79" s="5">
        <v>19.3</v>
      </c>
    </row>
    <row r="80" spans="1:153">
      <c r="I80">
        <f t="shared" si="79"/>
        <v>11.5</v>
      </c>
      <c r="J80">
        <f t="shared" ca="1" si="67"/>
        <v>0.95613510984806371</v>
      </c>
      <c r="K80">
        <f t="shared" ca="1" si="68"/>
        <v>0.954988684715536</v>
      </c>
      <c r="L80">
        <f t="shared" ca="1" si="69"/>
        <v>0.95313226847245847</v>
      </c>
      <c r="M80">
        <f t="shared" ca="1" si="70"/>
        <v>0.96417362317940225</v>
      </c>
      <c r="O80">
        <f t="shared" si="80"/>
        <v>11.5</v>
      </c>
      <c r="P80" s="5">
        <f t="shared" ca="1" si="71"/>
        <v>17.033213886737581</v>
      </c>
      <c r="Q80" s="5">
        <f t="shared" ca="1" si="72"/>
        <v>17.256038773315755</v>
      </c>
      <c r="R80" s="5">
        <f t="shared" ca="1" si="73"/>
        <v>17.611062664359899</v>
      </c>
      <c r="S80" s="5">
        <f t="shared" ca="1" si="74"/>
        <v>15.383114626312356</v>
      </c>
      <c r="U80">
        <f t="shared" si="81"/>
        <v>11.5</v>
      </c>
      <c r="V80" s="107">
        <f t="shared" ca="1" si="75"/>
        <v>0.95613510984806371</v>
      </c>
      <c r="W80" s="107">
        <f t="shared" ca="1" si="76"/>
        <v>0.954988684715536</v>
      </c>
      <c r="X80" s="107">
        <f t="shared" ca="1" si="77"/>
        <v>0.95313226847245847</v>
      </c>
      <c r="Y80" s="107">
        <f t="shared" ca="1" si="78"/>
        <v>0.96417362317940225</v>
      </c>
      <c r="AO80">
        <f t="shared" ref="AO80" si="93">AO79+1</f>
        <v>10.5</v>
      </c>
      <c r="AP80" s="5">
        <v>104.43</v>
      </c>
      <c r="AQ80" s="5">
        <v>26.52</v>
      </c>
      <c r="AR80" s="5">
        <v>111.26</v>
      </c>
      <c r="AS80" s="5">
        <v>29.16</v>
      </c>
      <c r="AT80" s="5">
        <v>119.82</v>
      </c>
      <c r="AU80" s="5">
        <v>30.64</v>
      </c>
      <c r="AV80" s="5">
        <v>123.53</v>
      </c>
      <c r="AW80" s="5">
        <v>34.6</v>
      </c>
      <c r="AX80" s="5">
        <v>132.38999999999999</v>
      </c>
      <c r="AY80" s="5">
        <v>33.94</v>
      </c>
      <c r="AZ80" s="5">
        <v>146.63</v>
      </c>
      <c r="BA80" s="5">
        <v>30.47</v>
      </c>
      <c r="BB80">
        <f t="shared" si="83"/>
        <v>10.5</v>
      </c>
      <c r="BC80" s="5">
        <v>102.88</v>
      </c>
      <c r="BD80" s="5">
        <v>28.74</v>
      </c>
      <c r="BE80" s="5">
        <v>118.82</v>
      </c>
      <c r="BF80" s="5">
        <v>23.82</v>
      </c>
      <c r="BG80" s="5">
        <v>121.06</v>
      </c>
      <c r="BH80" s="5">
        <v>31.04</v>
      </c>
      <c r="BI80" s="5">
        <v>126.15</v>
      </c>
      <c r="BJ80" s="5">
        <v>34.270000000000003</v>
      </c>
      <c r="BK80" s="5">
        <v>135.41</v>
      </c>
      <c r="BL80" s="5">
        <v>35.11</v>
      </c>
      <c r="BM80" s="5">
        <v>130.9</v>
      </c>
      <c r="BN80" s="5">
        <v>40.14</v>
      </c>
      <c r="BO80">
        <f t="shared" si="84"/>
        <v>10.5</v>
      </c>
      <c r="BP80" s="5">
        <v>115.12</v>
      </c>
      <c r="BQ80" s="5">
        <v>29.24</v>
      </c>
      <c r="BR80">
        <v>127.35</v>
      </c>
      <c r="BS80">
        <v>27.58</v>
      </c>
      <c r="BT80" s="5">
        <v>128.27000000000001</v>
      </c>
      <c r="BU80" s="5">
        <v>31.32</v>
      </c>
      <c r="BV80" s="5">
        <v>132.51</v>
      </c>
      <c r="BW80" s="5">
        <v>33.85</v>
      </c>
      <c r="BX80" s="5">
        <v>133.66</v>
      </c>
      <c r="BY80" s="5">
        <v>38.340000000000003</v>
      </c>
      <c r="BZ80" s="7">
        <f t="shared" si="85"/>
        <v>10.5</v>
      </c>
      <c r="CA80" s="5">
        <v>128.65</v>
      </c>
      <c r="CB80" s="5">
        <v>23.39</v>
      </c>
      <c r="CC80" s="5">
        <v>130.69999999999999</v>
      </c>
      <c r="CD80" s="5">
        <v>27.58</v>
      </c>
      <c r="CE80" s="5">
        <v>142.63999999999999</v>
      </c>
      <c r="CF80" s="5">
        <v>26.62</v>
      </c>
      <c r="CG80" s="5">
        <v>133.44999999999999</v>
      </c>
      <c r="CH80" s="5">
        <v>34.950000000000003</v>
      </c>
      <c r="CI80" s="5">
        <v>139.19999999999999</v>
      </c>
      <c r="CJ80" s="5">
        <v>36.520000000000003</v>
      </c>
      <c r="CM80" s="13" t="s">
        <v>111</v>
      </c>
      <c r="CN80" s="20">
        <v>41.784959999999998</v>
      </c>
      <c r="CO80" s="20">
        <v>-87.751919999999998</v>
      </c>
      <c r="CP80" s="19">
        <v>0.38300000000000001</v>
      </c>
      <c r="CQ80" s="19">
        <v>0.36999999999999994</v>
      </c>
      <c r="CR80" s="19">
        <v>0.31699999999999995</v>
      </c>
      <c r="CS80" s="19">
        <v>0.42399999999999999</v>
      </c>
      <c r="CT80" s="98">
        <v>274.26111111111112</v>
      </c>
      <c r="CU80" s="98">
        <v>291.48333333333335</v>
      </c>
      <c r="CV80" s="98">
        <v>299.26111111111112</v>
      </c>
      <c r="CW80" s="98">
        <v>281.48333333333335</v>
      </c>
      <c r="CX80" s="104">
        <v>5</v>
      </c>
      <c r="CY80" s="104">
        <v>6</v>
      </c>
      <c r="CZ80" s="104">
        <v>7</v>
      </c>
      <c r="DA80" s="104">
        <v>8</v>
      </c>
      <c r="DB80" s="104">
        <v>2</v>
      </c>
      <c r="DG80">
        <f t="shared" si="32"/>
        <v>41</v>
      </c>
      <c r="DH80" s="5">
        <f t="shared" ca="1" si="33"/>
        <v>794.47</v>
      </c>
      <c r="DI80" s="5">
        <f t="shared" ca="1" si="34"/>
        <v>690.96</v>
      </c>
      <c r="DJ80" s="5">
        <f t="shared" ca="1" si="35"/>
        <v>683.58332905610018</v>
      </c>
      <c r="DK80" s="5">
        <f t="shared" ca="1" si="36"/>
        <v>784.88248300666169</v>
      </c>
      <c r="DL80" s="5">
        <f t="shared" ca="1" si="4"/>
        <v>42.956000000000003</v>
      </c>
      <c r="DM80" s="5">
        <f t="shared" ca="1" si="5"/>
        <v>42.733999999999995</v>
      </c>
      <c r="DN80" s="5">
        <f t="shared" ca="1" si="6"/>
        <v>42.275333333333336</v>
      </c>
      <c r="DO80" s="5">
        <f t="shared" ca="1" si="7"/>
        <v>42.438000000000002</v>
      </c>
      <c r="DP80" s="5">
        <f t="shared" ca="1" si="8"/>
        <v>18.859000000000002</v>
      </c>
      <c r="DQ80" s="5">
        <f t="shared" ca="1" si="9"/>
        <v>17.415000000000003</v>
      </c>
      <c r="DR80" s="5">
        <f t="shared" ca="1" si="10"/>
        <v>17.231000000000002</v>
      </c>
      <c r="DS80" s="5">
        <f t="shared" ca="1" si="11"/>
        <v>18.637</v>
      </c>
      <c r="DU80">
        <f t="shared" si="37"/>
        <v>41</v>
      </c>
      <c r="DV80" s="5">
        <v>919.3</v>
      </c>
      <c r="DW80" s="5">
        <v>878.26996979954185</v>
      </c>
      <c r="DX80" s="5">
        <v>868.89753329144446</v>
      </c>
      <c r="DY80" s="5">
        <v>908.20400409429021</v>
      </c>
      <c r="DZ80" s="5">
        <v>794.47</v>
      </c>
      <c r="EA80" s="5">
        <v>690.96</v>
      </c>
      <c r="EB80" s="5">
        <v>683.58332905610018</v>
      </c>
      <c r="EC80" s="5">
        <v>784.88248300666169</v>
      </c>
      <c r="EE80">
        <f t="shared" si="38"/>
        <v>41</v>
      </c>
      <c r="EF80" s="5">
        <v>25.428999999999998</v>
      </c>
      <c r="EG80" s="5">
        <v>24.295333333333332</v>
      </c>
      <c r="EH80" s="5">
        <v>24.037333333333333</v>
      </c>
      <c r="EI80" s="5">
        <v>25.121666666666663</v>
      </c>
      <c r="EJ80" s="5">
        <v>42.956000000000003</v>
      </c>
      <c r="EK80" s="5">
        <v>42.733999999999995</v>
      </c>
      <c r="EL80" s="5">
        <v>42.275333333333336</v>
      </c>
      <c r="EM80" s="5">
        <v>42.438000000000002</v>
      </c>
      <c r="EO80">
        <f t="shared" si="39"/>
        <v>41</v>
      </c>
      <c r="EP80" s="5">
        <v>18.855</v>
      </c>
      <c r="EQ80" s="5">
        <v>18.015999999999998</v>
      </c>
      <c r="ER80" s="5">
        <v>17.832000000000001</v>
      </c>
      <c r="ES80" s="5">
        <v>18.624000000000002</v>
      </c>
      <c r="ET80" s="5">
        <v>18.859000000000002</v>
      </c>
      <c r="EU80" s="5">
        <v>17.415000000000003</v>
      </c>
      <c r="EV80" s="5">
        <v>17.231000000000002</v>
      </c>
      <c r="EW80" s="5">
        <v>18.637</v>
      </c>
    </row>
    <row r="81" spans="9:153">
      <c r="I81">
        <f t="shared" si="79"/>
        <v>12.5</v>
      </c>
      <c r="J81">
        <f t="shared" ca="1" si="67"/>
        <v>0.95054900485732041</v>
      </c>
      <c r="K81">
        <f t="shared" ca="1" si="68"/>
        <v>0.93081693094258888</v>
      </c>
      <c r="L81">
        <f t="shared" ca="1" si="69"/>
        <v>0.93928658480952798</v>
      </c>
      <c r="M81">
        <f t="shared" ca="1" si="70"/>
        <v>0.91799992214043558</v>
      </c>
      <c r="O81">
        <f t="shared" si="80"/>
        <v>12.5</v>
      </c>
      <c r="P81" s="5">
        <f t="shared" ca="1" si="71"/>
        <v>18.093862656173098</v>
      </c>
      <c r="Q81" s="5">
        <f t="shared" ca="1" si="72"/>
        <v>21.43748028239397</v>
      </c>
      <c r="R81" s="5">
        <f t="shared" ca="1" si="73"/>
        <v>20.067909262982013</v>
      </c>
      <c r="S81" s="5">
        <f t="shared" ca="1" si="74"/>
        <v>23.364586248174575</v>
      </c>
      <c r="U81">
        <f t="shared" si="81"/>
        <v>12.5</v>
      </c>
      <c r="V81" s="107">
        <f t="shared" ca="1" si="75"/>
        <v>0.95054900485732041</v>
      </c>
      <c r="W81" s="107">
        <f t="shared" ca="1" si="76"/>
        <v>0.93081693094258888</v>
      </c>
      <c r="X81" s="107">
        <f t="shared" ca="1" si="77"/>
        <v>0.93928658480952798</v>
      </c>
      <c r="Y81" s="107">
        <f t="shared" ca="1" si="78"/>
        <v>0.91799992214043558</v>
      </c>
      <c r="AO81">
        <f t="shared" ref="AO81" si="94">AO80+1</f>
        <v>11.5</v>
      </c>
      <c r="AP81" s="5">
        <v>126.79</v>
      </c>
      <c r="AQ81" s="5">
        <v>14.21</v>
      </c>
      <c r="AR81" s="5">
        <v>135.11000000000001</v>
      </c>
      <c r="AS81" s="5">
        <v>18.22</v>
      </c>
      <c r="AT81" s="5">
        <v>145.59</v>
      </c>
      <c r="AU81" s="5">
        <v>21.52</v>
      </c>
      <c r="AV81" s="5">
        <v>147.11000000000001</v>
      </c>
      <c r="AW81" s="5">
        <v>26.47</v>
      </c>
      <c r="AX81" s="5">
        <v>157.84</v>
      </c>
      <c r="AY81" s="5">
        <v>27.55</v>
      </c>
      <c r="AZ81" s="5">
        <v>175.9</v>
      </c>
      <c r="BA81" s="5">
        <v>26.9</v>
      </c>
      <c r="BB81">
        <f t="shared" si="83"/>
        <v>11.5</v>
      </c>
      <c r="BC81" s="5">
        <v>122.11</v>
      </c>
      <c r="BD81" s="5">
        <v>16.03</v>
      </c>
      <c r="BE81" s="5">
        <v>153.59</v>
      </c>
      <c r="BF81" s="5">
        <v>14.63</v>
      </c>
      <c r="BG81" s="5">
        <v>146.69999999999999</v>
      </c>
      <c r="BH81" s="5">
        <v>22.39</v>
      </c>
      <c r="BI81" s="5">
        <v>150.47</v>
      </c>
      <c r="BJ81" s="5">
        <v>26.63</v>
      </c>
      <c r="BK81" s="5">
        <v>160.35</v>
      </c>
      <c r="BL81" s="5">
        <v>29.38</v>
      </c>
      <c r="BM81" s="5">
        <v>152.59</v>
      </c>
      <c r="BN81" s="5">
        <v>33.78</v>
      </c>
      <c r="BO81">
        <f t="shared" si="84"/>
        <v>11.5</v>
      </c>
      <c r="BP81" s="5">
        <v>140.57</v>
      </c>
      <c r="BQ81" s="5">
        <v>19.170000000000002</v>
      </c>
      <c r="BR81">
        <v>158.36000000000001</v>
      </c>
      <c r="BS81">
        <v>20.04</v>
      </c>
      <c r="BT81" s="5">
        <v>155.34</v>
      </c>
      <c r="BU81" s="5">
        <v>23.99</v>
      </c>
      <c r="BV81" s="5">
        <v>158.07</v>
      </c>
      <c r="BW81" s="5">
        <v>27.45</v>
      </c>
      <c r="BX81" s="5">
        <v>156.46</v>
      </c>
      <c r="BY81" s="5">
        <v>33.659999999999997</v>
      </c>
      <c r="BZ81" s="7">
        <f t="shared" si="85"/>
        <v>11.5</v>
      </c>
      <c r="CA81" s="5">
        <v>166.96</v>
      </c>
      <c r="CB81" s="5">
        <v>16.239999999999998</v>
      </c>
      <c r="CC81" s="5">
        <v>162.33000000000001</v>
      </c>
      <c r="CD81" s="5">
        <v>20.7</v>
      </c>
      <c r="CE81" s="5">
        <v>176.19</v>
      </c>
      <c r="CF81" s="5">
        <v>22.45</v>
      </c>
      <c r="CG81" s="5">
        <v>159.07</v>
      </c>
      <c r="CH81" s="5">
        <v>27.73</v>
      </c>
      <c r="CI81" s="5">
        <v>163.46</v>
      </c>
      <c r="CJ81" s="5">
        <v>31.63</v>
      </c>
      <c r="CM81" s="13" t="s">
        <v>112</v>
      </c>
      <c r="CN81" s="20">
        <v>41.48113</v>
      </c>
      <c r="CO81" s="20">
        <v>-90.467349999999996</v>
      </c>
      <c r="CP81" s="19">
        <v>0.35399999999999998</v>
      </c>
      <c r="CQ81" s="19">
        <v>0.377</v>
      </c>
      <c r="CR81" s="19">
        <v>0.29099999999999998</v>
      </c>
      <c r="CS81" s="19">
        <v>0.34299999999999997</v>
      </c>
      <c r="CT81" s="98">
        <v>275.37222222222221</v>
      </c>
      <c r="CU81" s="98">
        <v>295.92777777777781</v>
      </c>
      <c r="CV81" s="98">
        <v>302.03888888888895</v>
      </c>
      <c r="CW81" s="98">
        <v>282.59444444444443</v>
      </c>
      <c r="CX81" s="104">
        <v>5</v>
      </c>
      <c r="CY81" s="104">
        <v>6</v>
      </c>
      <c r="CZ81" s="104">
        <v>7</v>
      </c>
      <c r="DA81" s="104">
        <v>8</v>
      </c>
      <c r="DB81" s="104">
        <v>2</v>
      </c>
      <c r="DG81">
        <f t="shared" si="32"/>
        <v>42</v>
      </c>
      <c r="DH81" s="5">
        <f t="shared" ca="1" si="33"/>
        <v>789.25</v>
      </c>
      <c r="DI81" s="5">
        <f t="shared" ca="1" si="34"/>
        <v>685.86</v>
      </c>
      <c r="DJ81" s="5">
        <f t="shared" ca="1" si="35"/>
        <v>678.53777652312272</v>
      </c>
      <c r="DK81" s="5">
        <f t="shared" ca="1" si="36"/>
        <v>779.72547700102928</v>
      </c>
      <c r="DL81" s="5">
        <f t="shared" ca="1" si="4"/>
        <v>41.952000000000005</v>
      </c>
      <c r="DM81" s="5">
        <f t="shared" ca="1" si="5"/>
        <v>41.731333333333332</v>
      </c>
      <c r="DN81" s="5">
        <f t="shared" ca="1" si="6"/>
        <v>41.283999999999999</v>
      </c>
      <c r="DO81" s="5">
        <f t="shared" ca="1" si="7"/>
        <v>41.445999999999998</v>
      </c>
      <c r="DP81" s="5">
        <f t="shared" ca="1" si="8"/>
        <v>18.188000000000002</v>
      </c>
      <c r="DQ81" s="5">
        <f t="shared" ca="1" si="9"/>
        <v>16.800000000000004</v>
      </c>
      <c r="DR81" s="5">
        <f t="shared" ca="1" si="10"/>
        <v>16.622</v>
      </c>
      <c r="DS81" s="5">
        <f t="shared" ca="1" si="11"/>
        <v>17.974</v>
      </c>
      <c r="DU81">
        <f t="shared" si="37"/>
        <v>42</v>
      </c>
      <c r="DV81" s="5">
        <v>915.32</v>
      </c>
      <c r="DW81" s="5">
        <v>874.46760443480559</v>
      </c>
      <c r="DX81" s="5">
        <v>865.13574477572615</v>
      </c>
      <c r="DY81" s="5">
        <v>904.27204288870428</v>
      </c>
      <c r="DZ81" s="5">
        <v>789.25</v>
      </c>
      <c r="EA81" s="5">
        <v>685.86</v>
      </c>
      <c r="EB81" s="5">
        <v>678.53777652312272</v>
      </c>
      <c r="EC81" s="5">
        <v>779.72547700102928</v>
      </c>
      <c r="EE81">
        <f t="shared" si="38"/>
        <v>42</v>
      </c>
      <c r="EF81" s="5">
        <v>24.904666666666664</v>
      </c>
      <c r="EG81" s="5">
        <v>23.793999999999997</v>
      </c>
      <c r="EH81" s="5">
        <v>23.541333333333334</v>
      </c>
      <c r="EI81" s="5">
        <v>24.603333333333328</v>
      </c>
      <c r="EJ81" s="5">
        <v>41.952000000000005</v>
      </c>
      <c r="EK81" s="5">
        <v>41.731333333333332</v>
      </c>
      <c r="EL81" s="5">
        <v>41.283999999999999</v>
      </c>
      <c r="EM81" s="5">
        <v>41.445999999999998</v>
      </c>
      <c r="EO81">
        <f t="shared" si="39"/>
        <v>42</v>
      </c>
      <c r="EP81" s="5">
        <v>18.190000000000001</v>
      </c>
      <c r="EQ81" s="5">
        <v>17.381999999999998</v>
      </c>
      <c r="ER81" s="5">
        <v>17.204000000000001</v>
      </c>
      <c r="ES81" s="5">
        <v>17.968000000000004</v>
      </c>
      <c r="ET81" s="5">
        <v>18.188000000000002</v>
      </c>
      <c r="EU81" s="5">
        <v>16.800000000000004</v>
      </c>
      <c r="EV81" s="5">
        <v>16.622</v>
      </c>
      <c r="EW81" s="5">
        <v>17.974</v>
      </c>
    </row>
    <row r="82" spans="9:153">
      <c r="I82">
        <f t="shared" si="79"/>
        <v>13.5</v>
      </c>
      <c r="J82">
        <f t="shared" ca="1" si="67"/>
        <v>0.88055395111138701</v>
      </c>
      <c r="K82">
        <f t="shared" ca="1" si="68"/>
        <v>0.84298042969509024</v>
      </c>
      <c r="L82">
        <f t="shared" ca="1" si="69"/>
        <v>0.86126878591565093</v>
      </c>
      <c r="M82">
        <f t="shared" ca="1" si="70"/>
        <v>0.8233641636877469</v>
      </c>
      <c r="O82">
        <f t="shared" si="80"/>
        <v>13.5</v>
      </c>
      <c r="P82" s="5">
        <f t="shared" ca="1" si="71"/>
        <v>28.290741431844506</v>
      </c>
      <c r="Q82" s="5">
        <f t="shared" ca="1" si="72"/>
        <v>32.543803064687772</v>
      </c>
      <c r="R82" s="5">
        <f t="shared" ca="1" si="73"/>
        <v>30.54065803281016</v>
      </c>
      <c r="S82" s="5">
        <f t="shared" ca="1" si="74"/>
        <v>34.577008642941003</v>
      </c>
      <c r="U82">
        <f t="shared" si="81"/>
        <v>13.5</v>
      </c>
      <c r="V82" s="107">
        <f t="shared" ca="1" si="75"/>
        <v>0.88055395111138712</v>
      </c>
      <c r="W82" s="107">
        <f t="shared" ca="1" si="76"/>
        <v>0.84298042969509024</v>
      </c>
      <c r="X82" s="107">
        <f t="shared" ca="1" si="77"/>
        <v>0.86126878591565104</v>
      </c>
      <c r="Y82" s="107">
        <f t="shared" ca="1" si="78"/>
        <v>0.8233641636877469</v>
      </c>
      <c r="AO82">
        <f t="shared" ref="AO82" si="95">AO81+1</f>
        <v>12.5</v>
      </c>
      <c r="AP82" s="5">
        <v>198.72</v>
      </c>
      <c r="AQ82" s="5">
        <v>9.44</v>
      </c>
      <c r="AR82" s="5">
        <v>186.85</v>
      </c>
      <c r="AS82" s="5">
        <v>13.58</v>
      </c>
      <c r="AT82" s="5">
        <v>187.57</v>
      </c>
      <c r="AU82" s="5">
        <v>18.489999999999998</v>
      </c>
      <c r="AV82" s="5">
        <v>180.9</v>
      </c>
      <c r="AW82" s="5">
        <v>23.12</v>
      </c>
      <c r="AX82" s="5">
        <v>189.71</v>
      </c>
      <c r="AY82" s="5">
        <v>26.35</v>
      </c>
      <c r="AZ82" s="5">
        <v>206.46</v>
      </c>
      <c r="BA82" s="5">
        <v>29.05</v>
      </c>
      <c r="BB82">
        <f t="shared" si="83"/>
        <v>12.5</v>
      </c>
      <c r="BC82" s="5">
        <v>185.09</v>
      </c>
      <c r="BD82" s="5">
        <v>9.2200000000000006</v>
      </c>
      <c r="BE82" s="5">
        <v>211.69</v>
      </c>
      <c r="BF82" s="5">
        <v>15.14</v>
      </c>
      <c r="BG82" s="5">
        <v>186.98</v>
      </c>
      <c r="BH82" s="5">
        <v>19.43</v>
      </c>
      <c r="BI82" s="5">
        <v>183.9</v>
      </c>
      <c r="BJ82" s="5">
        <v>24.04</v>
      </c>
      <c r="BK82" s="5">
        <v>190.24</v>
      </c>
      <c r="BL82" s="5">
        <v>28.51</v>
      </c>
      <c r="BM82" s="5">
        <v>179.06</v>
      </c>
      <c r="BN82" s="5">
        <v>31.3</v>
      </c>
      <c r="BO82">
        <f t="shared" si="84"/>
        <v>12.5</v>
      </c>
      <c r="BP82" s="5">
        <v>188.75</v>
      </c>
      <c r="BQ82" s="5">
        <v>15.53</v>
      </c>
      <c r="BR82">
        <v>201.23</v>
      </c>
      <c r="BS82">
        <v>19.98</v>
      </c>
      <c r="BT82" s="5">
        <v>192.01</v>
      </c>
      <c r="BU82" s="5">
        <v>22.59</v>
      </c>
      <c r="BV82" s="5">
        <v>190.05</v>
      </c>
      <c r="BW82" s="5">
        <v>26.3</v>
      </c>
      <c r="BX82" s="5">
        <v>183.85</v>
      </c>
      <c r="BY82" s="5">
        <v>30.67</v>
      </c>
      <c r="BZ82" s="7">
        <f t="shared" si="85"/>
        <v>12.5</v>
      </c>
      <c r="CA82" s="5">
        <v>215.2</v>
      </c>
      <c r="CB82" s="5">
        <v>18.829999999999998</v>
      </c>
      <c r="CC82" s="5">
        <v>203.12</v>
      </c>
      <c r="CD82" s="5">
        <v>21.3</v>
      </c>
      <c r="CE82" s="5">
        <v>211.48</v>
      </c>
      <c r="CF82" s="5">
        <v>25.31</v>
      </c>
      <c r="CG82" s="5">
        <v>190.71</v>
      </c>
      <c r="CH82" s="5">
        <v>27.05</v>
      </c>
      <c r="CI82" s="5">
        <v>191.2</v>
      </c>
      <c r="CJ82" s="5">
        <v>31.14</v>
      </c>
      <c r="CM82" s="13" t="s">
        <v>113</v>
      </c>
      <c r="CN82" s="20">
        <v>40.734360000000002</v>
      </c>
      <c r="CO82" s="20">
        <v>-89.587890000000002</v>
      </c>
      <c r="CP82" s="19">
        <v>0.35899999999999999</v>
      </c>
      <c r="CQ82" s="19">
        <v>0.35899999999999999</v>
      </c>
      <c r="CR82" s="19">
        <v>0.27</v>
      </c>
      <c r="CS82" s="19">
        <v>0.34699999999999998</v>
      </c>
      <c r="CT82" s="98">
        <v>276.48333333333335</v>
      </c>
      <c r="CU82" s="98">
        <v>295.92777777777781</v>
      </c>
      <c r="CV82" s="98">
        <v>302.03888888888895</v>
      </c>
      <c r="CW82" s="98">
        <v>283.14999999999998</v>
      </c>
      <c r="CX82" s="104">
        <v>5</v>
      </c>
      <c r="CY82" s="104">
        <v>6</v>
      </c>
      <c r="CZ82" s="104">
        <v>7</v>
      </c>
      <c r="DA82" s="104">
        <v>8</v>
      </c>
      <c r="DB82" s="104">
        <v>2</v>
      </c>
      <c r="DG82">
        <f t="shared" si="32"/>
        <v>43</v>
      </c>
      <c r="DH82" s="5">
        <f t="shared" ca="1" si="33"/>
        <v>783.88</v>
      </c>
      <c r="DI82" s="5">
        <f t="shared" ca="1" si="34"/>
        <v>680.64</v>
      </c>
      <c r="DJ82" s="5">
        <f t="shared" ca="1" si="35"/>
        <v>673.37350510701629</v>
      </c>
      <c r="DK82" s="5">
        <f t="shared" ca="1" si="36"/>
        <v>774.4202811676488</v>
      </c>
      <c r="DL82" s="5">
        <f t="shared" ca="1" si="4"/>
        <v>40.948000000000008</v>
      </c>
      <c r="DM82" s="5">
        <f t="shared" ca="1" si="5"/>
        <v>40.728666666666669</v>
      </c>
      <c r="DN82" s="5">
        <f t="shared" ca="1" si="6"/>
        <v>40.292666666666662</v>
      </c>
      <c r="DO82" s="5">
        <f t="shared" ca="1" si="7"/>
        <v>40.453999999999994</v>
      </c>
      <c r="DP82" s="5">
        <f t="shared" ca="1" si="8"/>
        <v>17.517000000000003</v>
      </c>
      <c r="DQ82" s="5">
        <f t="shared" ca="1" si="9"/>
        <v>16.185000000000006</v>
      </c>
      <c r="DR82" s="5">
        <f t="shared" ca="1" si="10"/>
        <v>16.012999999999998</v>
      </c>
      <c r="DS82" s="5">
        <f t="shared" ca="1" si="11"/>
        <v>17.311</v>
      </c>
      <c r="DU82">
        <f t="shared" si="37"/>
        <v>43</v>
      </c>
      <c r="DV82" s="5">
        <v>911.19</v>
      </c>
      <c r="DW82" s="5">
        <v>870.52193384275506</v>
      </c>
      <c r="DX82" s="5">
        <v>861.2321803109229</v>
      </c>
      <c r="DY82" s="5">
        <v>900.1918921904454</v>
      </c>
      <c r="DZ82" s="5">
        <v>783.88</v>
      </c>
      <c r="EA82" s="5">
        <v>680.64</v>
      </c>
      <c r="EB82" s="5">
        <v>673.37350510701629</v>
      </c>
      <c r="EC82" s="5">
        <v>774.4202811676488</v>
      </c>
      <c r="EE82">
        <f t="shared" si="38"/>
        <v>43</v>
      </c>
      <c r="EF82" s="5">
        <v>24.380333333333329</v>
      </c>
      <c r="EG82" s="5">
        <v>23.292666666666662</v>
      </c>
      <c r="EH82" s="5">
        <v>23.045333333333335</v>
      </c>
      <c r="EI82" s="5">
        <v>24.084999999999994</v>
      </c>
      <c r="EJ82" s="5">
        <v>40.948000000000008</v>
      </c>
      <c r="EK82" s="5">
        <v>40.728666666666669</v>
      </c>
      <c r="EL82" s="5">
        <v>40.292666666666662</v>
      </c>
      <c r="EM82" s="5">
        <v>40.453999999999994</v>
      </c>
      <c r="EO82">
        <f t="shared" si="39"/>
        <v>43</v>
      </c>
      <c r="EP82" s="5">
        <v>17.525000000000002</v>
      </c>
      <c r="EQ82" s="5">
        <v>16.747999999999998</v>
      </c>
      <c r="ER82" s="5">
        <v>16.576000000000001</v>
      </c>
      <c r="ES82" s="5">
        <v>17.312000000000005</v>
      </c>
      <c r="ET82" s="5">
        <v>17.517000000000003</v>
      </c>
      <c r="EU82" s="5">
        <v>16.185000000000006</v>
      </c>
      <c r="EV82" s="5">
        <v>16.012999999999998</v>
      </c>
      <c r="EW82" s="5">
        <v>17.311</v>
      </c>
    </row>
    <row r="83" spans="9:153">
      <c r="I83">
        <f t="shared" si="79"/>
        <v>14.5</v>
      </c>
      <c r="J83">
        <f t="shared" ca="1" si="67"/>
        <v>0.74747018065165727</v>
      </c>
      <c r="K83">
        <f t="shared" ca="1" si="68"/>
        <v>0.6975922870261384</v>
      </c>
      <c r="L83">
        <f t="shared" ca="1" si="69"/>
        <v>0.72427360114080452</v>
      </c>
      <c r="M83">
        <f t="shared" ca="1" si="70"/>
        <v>0.66645304849680365</v>
      </c>
      <c r="O83">
        <f t="shared" si="80"/>
        <v>14.5</v>
      </c>
      <c r="P83" s="5">
        <f t="shared" ca="1" si="71"/>
        <v>41.628290234479302</v>
      </c>
      <c r="Q83" s="5">
        <f t="shared" ca="1" si="72"/>
        <v>45.765849372639565</v>
      </c>
      <c r="R83" s="5">
        <f t="shared" ca="1" si="73"/>
        <v>43.591546487778565</v>
      </c>
      <c r="S83" s="5">
        <f t="shared" ca="1" si="74"/>
        <v>48.206103904788677</v>
      </c>
      <c r="U83">
        <f t="shared" si="81"/>
        <v>14.5</v>
      </c>
      <c r="V83" s="107">
        <f t="shared" ca="1" si="75"/>
        <v>0.74747018065165727</v>
      </c>
      <c r="W83" s="107">
        <f t="shared" ca="1" si="76"/>
        <v>0.6975922870261384</v>
      </c>
      <c r="X83" s="107">
        <f t="shared" ca="1" si="77"/>
        <v>0.72427360114080463</v>
      </c>
      <c r="Y83" s="107">
        <f t="shared" ca="1" si="78"/>
        <v>0.66645304849680365</v>
      </c>
      <c r="AO83">
        <f t="shared" ref="AO83" si="96">AO82+1</f>
        <v>13.5</v>
      </c>
      <c r="AP83" s="5">
        <v>245.67</v>
      </c>
      <c r="AQ83" s="5">
        <v>19.100000000000001</v>
      </c>
      <c r="AR83" s="5">
        <v>232.14</v>
      </c>
      <c r="AS83" s="5">
        <v>20.37</v>
      </c>
      <c r="AT83" s="5">
        <v>224.84</v>
      </c>
      <c r="AU83" s="5">
        <v>24.1</v>
      </c>
      <c r="AV83" s="5">
        <v>214.33</v>
      </c>
      <c r="AW83" s="5">
        <v>26.74</v>
      </c>
      <c r="AX83" s="5">
        <v>218.46</v>
      </c>
      <c r="AY83" s="5">
        <v>30.93</v>
      </c>
      <c r="AZ83" s="5">
        <v>230.3</v>
      </c>
      <c r="BA83" s="5">
        <v>35.81</v>
      </c>
      <c r="BB83">
        <f t="shared" si="83"/>
        <v>13.5</v>
      </c>
      <c r="BC83" s="5">
        <v>241.28</v>
      </c>
      <c r="BD83" s="5">
        <v>17.34</v>
      </c>
      <c r="BE83" s="5">
        <v>243.43</v>
      </c>
      <c r="BF83" s="5">
        <v>25.03</v>
      </c>
      <c r="BG83" s="5">
        <v>223.25</v>
      </c>
      <c r="BH83" s="5">
        <v>24.69</v>
      </c>
      <c r="BI83" s="5">
        <v>215.82</v>
      </c>
      <c r="BJ83" s="5">
        <v>27.94</v>
      </c>
      <c r="BK83" s="5">
        <v>217.35</v>
      </c>
      <c r="BL83" s="5">
        <v>32.79</v>
      </c>
      <c r="BM83" s="5">
        <v>205.75</v>
      </c>
      <c r="BN83" s="5">
        <v>33.450000000000003</v>
      </c>
      <c r="BO83">
        <f t="shared" si="84"/>
        <v>13.5</v>
      </c>
      <c r="BP83" s="5">
        <v>229.9</v>
      </c>
      <c r="BQ83" s="5">
        <v>22.01</v>
      </c>
      <c r="BR83">
        <v>232.46</v>
      </c>
      <c r="BS83">
        <v>27.39</v>
      </c>
      <c r="BT83" s="5">
        <v>223.4</v>
      </c>
      <c r="BU83" s="5">
        <v>28.17</v>
      </c>
      <c r="BV83" s="5">
        <v>218.77</v>
      </c>
      <c r="BW83" s="5">
        <v>30.92</v>
      </c>
      <c r="BX83" s="5">
        <v>210.37</v>
      </c>
      <c r="BY83" s="5">
        <v>33.72</v>
      </c>
      <c r="BZ83" s="7">
        <f t="shared" si="85"/>
        <v>13.5</v>
      </c>
      <c r="CA83" s="5">
        <v>242.47</v>
      </c>
      <c r="CB83" s="5">
        <v>28.53</v>
      </c>
      <c r="CC83" s="5">
        <v>232.63</v>
      </c>
      <c r="CD83" s="5">
        <v>28.77</v>
      </c>
      <c r="CE83" s="5">
        <v>236.02</v>
      </c>
      <c r="CF83" s="5">
        <v>33.39</v>
      </c>
      <c r="CG83" s="5">
        <v>219</v>
      </c>
      <c r="CH83" s="5">
        <v>31.36</v>
      </c>
      <c r="CI83" s="5">
        <v>216.5</v>
      </c>
      <c r="CJ83" s="5">
        <v>35.26</v>
      </c>
      <c r="CM83" s="13" t="s">
        <v>114</v>
      </c>
      <c r="CN83" s="20">
        <v>39.769359999999999</v>
      </c>
      <c r="CO83" s="20">
        <v>-89.635480000000001</v>
      </c>
      <c r="CP83" s="19">
        <v>0.376</v>
      </c>
      <c r="CQ83" s="19">
        <v>0.38200000000000001</v>
      </c>
      <c r="CR83" s="19">
        <v>0.29199999999999998</v>
      </c>
      <c r="CS83" s="19">
        <v>0.34199999999999997</v>
      </c>
      <c r="CT83" s="98">
        <v>277.59444444444443</v>
      </c>
      <c r="CU83" s="98">
        <v>297.03888888888895</v>
      </c>
      <c r="CV83" s="98">
        <v>302.59444444444449</v>
      </c>
      <c r="CW83" s="98">
        <v>284.26111111111112</v>
      </c>
      <c r="CX83" s="104">
        <v>5</v>
      </c>
      <c r="CY83" s="104">
        <v>6</v>
      </c>
      <c r="CZ83" s="104">
        <v>7</v>
      </c>
      <c r="DA83" s="104">
        <v>8</v>
      </c>
      <c r="DB83" s="104">
        <v>2</v>
      </c>
      <c r="DG83">
        <f t="shared" si="32"/>
        <v>44</v>
      </c>
      <c r="DH83" s="5">
        <f t="shared" ca="1" si="33"/>
        <v>778.22</v>
      </c>
      <c r="DI83" s="5">
        <f t="shared" ca="1" si="34"/>
        <v>675.1</v>
      </c>
      <c r="DJ83" s="5">
        <f t="shared" ca="1" si="35"/>
        <v>667.89265000256626</v>
      </c>
      <c r="DK83" s="5">
        <f t="shared" ca="1" si="36"/>
        <v>768.82858500062207</v>
      </c>
      <c r="DL83" s="5">
        <f t="shared" ca="1" si="4"/>
        <v>39.94400000000001</v>
      </c>
      <c r="DM83" s="5">
        <f t="shared" ca="1" si="5"/>
        <v>39.726000000000006</v>
      </c>
      <c r="DN83" s="5">
        <f t="shared" ca="1" si="6"/>
        <v>39.301333333333325</v>
      </c>
      <c r="DO83" s="5">
        <f t="shared" ca="1" si="7"/>
        <v>39.461999999999989</v>
      </c>
      <c r="DP83" s="5">
        <f t="shared" ca="1" si="8"/>
        <v>16.846000000000004</v>
      </c>
      <c r="DQ83" s="5">
        <f t="shared" ca="1" si="9"/>
        <v>15.570000000000006</v>
      </c>
      <c r="DR83" s="5">
        <f t="shared" ca="1" si="10"/>
        <v>15.403999999999998</v>
      </c>
      <c r="DS83" s="5">
        <f t="shared" ca="1" si="11"/>
        <v>16.648</v>
      </c>
      <c r="DU83">
        <f t="shared" si="37"/>
        <v>44</v>
      </c>
      <c r="DV83" s="5">
        <v>906.89</v>
      </c>
      <c r="DW83" s="5">
        <v>866.41385065974828</v>
      </c>
      <c r="DX83" s="5">
        <v>857.16793643715664</v>
      </c>
      <c r="DY83" s="5">
        <v>895.94379340049045</v>
      </c>
      <c r="DZ83" s="5">
        <v>778.22</v>
      </c>
      <c r="EA83" s="5">
        <v>675.1</v>
      </c>
      <c r="EB83" s="5">
        <v>667.89265000256626</v>
      </c>
      <c r="EC83" s="5">
        <v>768.82858500062207</v>
      </c>
      <c r="EE83">
        <f t="shared" si="38"/>
        <v>44</v>
      </c>
      <c r="EF83" s="5">
        <v>23.855999999999995</v>
      </c>
      <c r="EG83" s="5">
        <v>22.791333333333327</v>
      </c>
      <c r="EH83" s="5">
        <v>22.549333333333337</v>
      </c>
      <c r="EI83" s="5">
        <v>23.566666666666659</v>
      </c>
      <c r="EJ83" s="5">
        <v>39.94400000000001</v>
      </c>
      <c r="EK83" s="5">
        <v>39.726000000000006</v>
      </c>
      <c r="EL83" s="5">
        <v>39.301333333333325</v>
      </c>
      <c r="EM83" s="5">
        <v>39.461999999999989</v>
      </c>
      <c r="EO83">
        <f t="shared" si="39"/>
        <v>44</v>
      </c>
      <c r="EP83" s="5">
        <v>16.860000000000003</v>
      </c>
      <c r="EQ83" s="5">
        <v>16.113999999999997</v>
      </c>
      <c r="ER83" s="5">
        <v>15.948</v>
      </c>
      <c r="ES83" s="5">
        <v>16.656000000000006</v>
      </c>
      <c r="ET83" s="5">
        <v>16.846000000000004</v>
      </c>
      <c r="EU83" s="5">
        <v>15.570000000000006</v>
      </c>
      <c r="EV83" s="5">
        <v>15.403999999999998</v>
      </c>
      <c r="EW83" s="5">
        <v>16.648</v>
      </c>
    </row>
    <row r="84" spans="9:153">
      <c r="I84">
        <f t="shared" si="79"/>
        <v>15.5</v>
      </c>
      <c r="J84">
        <f t="shared" ca="1" si="67"/>
        <v>0.56962853170187078</v>
      </c>
      <c r="K84">
        <f t="shared" ca="1" si="68"/>
        <v>0.50440872809384296</v>
      </c>
      <c r="L84">
        <f t="shared" ca="1" si="69"/>
        <v>0.53772412790836988</v>
      </c>
      <c r="M84">
        <f t="shared" ca="1" si="70"/>
        <v>0.4637366707150743</v>
      </c>
      <c r="O84">
        <f t="shared" si="80"/>
        <v>15.5</v>
      </c>
      <c r="P84" s="5">
        <f t="shared" ca="1" si="71"/>
        <v>55.275673798783437</v>
      </c>
      <c r="Q84" s="5">
        <f t="shared" ca="1" si="72"/>
        <v>59.707889719811632</v>
      </c>
      <c r="R84" s="5">
        <f t="shared" ca="1" si="73"/>
        <v>57.471155646133703</v>
      </c>
      <c r="S84" s="5">
        <f t="shared" ca="1" si="74"/>
        <v>62.371507852512245</v>
      </c>
      <c r="U84">
        <f t="shared" si="81"/>
        <v>15.5</v>
      </c>
      <c r="V84" s="107">
        <f t="shared" ca="1" si="75"/>
        <v>0.569628531701871</v>
      </c>
      <c r="W84" s="107">
        <f t="shared" ca="1" si="76"/>
        <v>0.50440872809384285</v>
      </c>
      <c r="X84" s="107">
        <f t="shared" ca="1" si="77"/>
        <v>0.53772412790836976</v>
      </c>
      <c r="Y84" s="107">
        <f t="shared" ca="1" si="78"/>
        <v>0.46373667071507441</v>
      </c>
      <c r="AO84">
        <f t="shared" ref="AO84" si="97">AO83+1</f>
        <v>14.5</v>
      </c>
      <c r="AP84" s="5">
        <v>260.5</v>
      </c>
      <c r="AQ84" s="5">
        <v>32.07</v>
      </c>
      <c r="AR84" s="5">
        <v>252.17</v>
      </c>
      <c r="AS84" s="5">
        <v>32.01</v>
      </c>
      <c r="AT84" s="5">
        <v>246.05</v>
      </c>
      <c r="AU84" s="5">
        <v>34.270000000000003</v>
      </c>
      <c r="AV84" s="5">
        <v>237.44</v>
      </c>
      <c r="AW84" s="5">
        <v>35.04</v>
      </c>
      <c r="AX84" s="5">
        <v>239.07</v>
      </c>
      <c r="AY84" s="5">
        <v>39.14</v>
      </c>
      <c r="AZ84" s="5">
        <v>247.3</v>
      </c>
      <c r="BA84" s="5">
        <v>45.11</v>
      </c>
      <c r="BB84">
        <f t="shared" si="83"/>
        <v>14.5</v>
      </c>
      <c r="BC84" s="5">
        <v>258.52</v>
      </c>
      <c r="BD84" s="5">
        <v>30.03</v>
      </c>
      <c r="BE84" s="5">
        <v>258.08999999999997</v>
      </c>
      <c r="BF84" s="5">
        <v>37.29</v>
      </c>
      <c r="BG84" s="5">
        <v>244.71</v>
      </c>
      <c r="BH84" s="5">
        <v>34.61</v>
      </c>
      <c r="BI84" s="5">
        <v>238.06</v>
      </c>
      <c r="BJ84" s="5">
        <v>36.299999999999997</v>
      </c>
      <c r="BK84" s="5">
        <v>237.64</v>
      </c>
      <c r="BL84" s="5">
        <v>40.65</v>
      </c>
      <c r="BM84" s="5">
        <v>227.84</v>
      </c>
      <c r="BN84" s="5">
        <v>39.53</v>
      </c>
      <c r="BO84">
        <f t="shared" si="84"/>
        <v>14.5</v>
      </c>
      <c r="BP84" s="5">
        <v>250.16</v>
      </c>
      <c r="BQ84" s="5">
        <v>33.049999999999997</v>
      </c>
      <c r="BR84">
        <v>250.35</v>
      </c>
      <c r="BS84">
        <v>38.1</v>
      </c>
      <c r="BT84" s="5">
        <v>243.67</v>
      </c>
      <c r="BU84" s="5">
        <v>37.57</v>
      </c>
      <c r="BV84" s="5">
        <v>239.32</v>
      </c>
      <c r="BW84" s="5">
        <v>39.22</v>
      </c>
      <c r="BX84" s="5">
        <v>231.63</v>
      </c>
      <c r="BY84" s="5">
        <v>40.380000000000003</v>
      </c>
      <c r="BZ84" s="7">
        <f t="shared" si="85"/>
        <v>14.5</v>
      </c>
      <c r="CA84" s="5">
        <v>257.02999999999997</v>
      </c>
      <c r="CB84" s="5">
        <v>40.32</v>
      </c>
      <c r="CC84" s="5">
        <v>250.18</v>
      </c>
      <c r="CD84" s="5">
        <v>39.46</v>
      </c>
      <c r="CE84" s="5">
        <v>251.95</v>
      </c>
      <c r="CF84" s="5">
        <v>43.84</v>
      </c>
      <c r="CG84" s="5">
        <v>239.36</v>
      </c>
      <c r="CH84" s="5">
        <v>39.659999999999997</v>
      </c>
      <c r="CI84" s="5">
        <v>236.27</v>
      </c>
      <c r="CJ84" s="5">
        <v>42.57</v>
      </c>
      <c r="CM84" s="13" t="s">
        <v>115</v>
      </c>
      <c r="CN84" s="20">
        <v>38.087229999999998</v>
      </c>
      <c r="CO84" s="20">
        <v>-89.937610000000006</v>
      </c>
      <c r="CP84" s="19">
        <v>0.39400000000000002</v>
      </c>
      <c r="CQ84" s="19">
        <v>0.38</v>
      </c>
      <c r="CR84" s="19">
        <v>0.30399999999999999</v>
      </c>
      <c r="CS84" s="19">
        <v>0.34699999999999998</v>
      </c>
      <c r="CT84" s="98">
        <v>280.92777777777781</v>
      </c>
      <c r="CU84" s="98">
        <v>298.15000000000003</v>
      </c>
      <c r="CV84" s="98">
        <v>304.26111111111112</v>
      </c>
      <c r="CW84" s="98">
        <v>286.48333333333335</v>
      </c>
      <c r="CX84" s="104">
        <v>5</v>
      </c>
      <c r="CY84" s="104">
        <v>6</v>
      </c>
      <c r="CZ84" s="104">
        <v>7</v>
      </c>
      <c r="DA84" s="104">
        <v>8</v>
      </c>
      <c r="DB84" s="104">
        <v>2</v>
      </c>
      <c r="DG84">
        <f t="shared" si="32"/>
        <v>45</v>
      </c>
      <c r="DH84" s="5">
        <f t="shared" ca="1" si="33"/>
        <v>772.38</v>
      </c>
      <c r="DI84" s="5">
        <f t="shared" ca="1" si="34"/>
        <v>669.4</v>
      </c>
      <c r="DJ84" s="5">
        <f t="shared" ca="1" si="35"/>
        <v>662.25350305394431</v>
      </c>
      <c r="DK84" s="5">
        <f t="shared" ca="1" si="36"/>
        <v>763.05906104029771</v>
      </c>
      <c r="DL84" s="5">
        <f t="shared" ca="1" si="4"/>
        <v>38.940000000000012</v>
      </c>
      <c r="DM84" s="5">
        <f t="shared" ca="1" si="5"/>
        <v>38.723333333333343</v>
      </c>
      <c r="DN84" s="5">
        <f t="shared" ca="1" si="6"/>
        <v>38.309999999999988</v>
      </c>
      <c r="DO84" s="5">
        <f t="shared" ca="1" si="7"/>
        <v>38.469999999999985</v>
      </c>
      <c r="DP84" s="5">
        <f t="shared" ca="1" si="8"/>
        <v>16.175000000000004</v>
      </c>
      <c r="DQ84" s="5">
        <f t="shared" ca="1" si="9"/>
        <v>14.955000000000005</v>
      </c>
      <c r="DR84" s="5">
        <f t="shared" ca="1" si="10"/>
        <v>14.794999999999998</v>
      </c>
      <c r="DS84" s="5">
        <f t="shared" ca="1" si="11"/>
        <v>15.984999999999999</v>
      </c>
      <c r="DU84">
        <f t="shared" si="37"/>
        <v>45</v>
      </c>
      <c r="DV84" s="5">
        <v>902.39</v>
      </c>
      <c r="DW84" s="5">
        <v>862.11469384032273</v>
      </c>
      <c r="DX84" s="5">
        <v>852.91465796461068</v>
      </c>
      <c r="DY84" s="5">
        <v>891.49810862030529</v>
      </c>
      <c r="DZ84" s="5">
        <v>772.38</v>
      </c>
      <c r="EA84" s="5">
        <v>669.4</v>
      </c>
      <c r="EB84" s="5">
        <v>662.25350305394431</v>
      </c>
      <c r="EC84" s="5">
        <v>763.05906104029771</v>
      </c>
      <c r="EE84">
        <f t="shared" si="38"/>
        <v>45</v>
      </c>
      <c r="EF84" s="5">
        <v>23.33166666666666</v>
      </c>
      <c r="EG84" s="5">
        <v>22.289999999999992</v>
      </c>
      <c r="EH84" s="5">
        <v>22.053333333333338</v>
      </c>
      <c r="EI84" s="5">
        <v>23.048333333333325</v>
      </c>
      <c r="EJ84" s="5">
        <v>38.940000000000012</v>
      </c>
      <c r="EK84" s="5">
        <v>38.723333333333343</v>
      </c>
      <c r="EL84" s="5">
        <v>38.309999999999988</v>
      </c>
      <c r="EM84" s="5">
        <v>38.469999999999985</v>
      </c>
      <c r="EO84">
        <f t="shared" si="39"/>
        <v>45</v>
      </c>
      <c r="EP84" s="5">
        <v>16.195000000000004</v>
      </c>
      <c r="EQ84" s="5">
        <v>15.479999999999997</v>
      </c>
      <c r="ER84" s="5">
        <v>15.32</v>
      </c>
      <c r="ES84" s="5">
        <v>16.000000000000007</v>
      </c>
      <c r="ET84" s="5">
        <v>16.175000000000004</v>
      </c>
      <c r="EU84" s="5">
        <v>14.955000000000005</v>
      </c>
      <c r="EV84" s="5">
        <v>14.794999999999998</v>
      </c>
      <c r="EW84" s="5">
        <v>15.984999999999999</v>
      </c>
    </row>
    <row r="85" spans="9:153">
      <c r="I85">
        <f t="shared" si="79"/>
        <v>16.5</v>
      </c>
      <c r="J85">
        <f t="shared" ca="1" si="67"/>
        <v>0.35003855529169331</v>
      </c>
      <c r="K85">
        <f t="shared" ca="1" si="68"/>
        <v>0.27703217295110194</v>
      </c>
      <c r="L85">
        <f t="shared" ca="1" si="69"/>
        <v>0.31441073319307861</v>
      </c>
      <c r="M85">
        <f t="shared" ca="1" si="70"/>
        <v>0.22917425218747889</v>
      </c>
      <c r="O85">
        <f t="shared" si="80"/>
        <v>16.5</v>
      </c>
      <c r="P85" s="5">
        <f t="shared" ca="1" si="71"/>
        <v>69.51032665396005</v>
      </c>
      <c r="Q85" s="5">
        <f t="shared" ca="1" si="72"/>
        <v>73.916844917378739</v>
      </c>
      <c r="R85" s="5">
        <f t="shared" ca="1" si="73"/>
        <v>71.674756031738667</v>
      </c>
      <c r="S85" s="5">
        <f t="shared" ca="1" si="74"/>
        <v>76.751538592943987</v>
      </c>
      <c r="U85">
        <f t="shared" si="81"/>
        <v>16.5</v>
      </c>
      <c r="V85" s="107">
        <f t="shared" ca="1" si="75"/>
        <v>0.35003855529169337</v>
      </c>
      <c r="W85" s="107">
        <f t="shared" ca="1" si="76"/>
        <v>0.27703217295110194</v>
      </c>
      <c r="X85" s="107">
        <f t="shared" ca="1" si="77"/>
        <v>0.31441073319307872</v>
      </c>
      <c r="Y85" s="107">
        <f t="shared" ca="1" si="78"/>
        <v>0.22917425218747892</v>
      </c>
      <c r="AO85">
        <f t="shared" ref="AO85" si="98">AO84+1</f>
        <v>15.5</v>
      </c>
      <c r="AP85" s="5">
        <v>268.66000000000003</v>
      </c>
      <c r="AQ85" s="5">
        <v>45.49</v>
      </c>
      <c r="AR85" s="5">
        <v>263.3</v>
      </c>
      <c r="AS85" s="5">
        <v>44.49</v>
      </c>
      <c r="AT85" s="5">
        <v>259.11</v>
      </c>
      <c r="AU85" s="5">
        <v>45.93</v>
      </c>
      <c r="AV85" s="5">
        <v>252.85</v>
      </c>
      <c r="AW85" s="5">
        <v>45.58</v>
      </c>
      <c r="AX85" s="5">
        <v>253.85</v>
      </c>
      <c r="AY85" s="5">
        <v>49.24</v>
      </c>
      <c r="AZ85" s="5">
        <v>260.22000000000003</v>
      </c>
      <c r="BA85" s="5">
        <v>55.53</v>
      </c>
      <c r="BB85">
        <f t="shared" si="83"/>
        <v>15.5</v>
      </c>
      <c r="BC85" s="5">
        <v>267.37</v>
      </c>
      <c r="BD85" s="5">
        <v>44.04</v>
      </c>
      <c r="BE85" s="5">
        <v>267.37</v>
      </c>
      <c r="BF85" s="5">
        <v>50.18</v>
      </c>
      <c r="BG85" s="5">
        <v>258.17</v>
      </c>
      <c r="BH85" s="5">
        <v>46.04</v>
      </c>
      <c r="BI85" s="5">
        <v>253.22</v>
      </c>
      <c r="BJ85" s="5">
        <v>46.65</v>
      </c>
      <c r="BK85" s="5">
        <v>252.68</v>
      </c>
      <c r="BL85" s="5">
        <v>49.94</v>
      </c>
      <c r="BM85" s="5">
        <v>244.87</v>
      </c>
      <c r="BN85" s="5">
        <v>47.81</v>
      </c>
      <c r="BO85">
        <f t="shared" si="84"/>
        <v>15.5</v>
      </c>
      <c r="BP85" s="5">
        <v>261.95999999999998</v>
      </c>
      <c r="BQ85" s="5">
        <v>45.38</v>
      </c>
      <c r="BR85">
        <v>262.14999999999998</v>
      </c>
      <c r="BS85">
        <v>49.96</v>
      </c>
      <c r="BT85" s="5">
        <v>257.33999999999997</v>
      </c>
      <c r="BU85" s="5">
        <v>48.52</v>
      </c>
      <c r="BV85" s="5">
        <v>254.03</v>
      </c>
      <c r="BW85" s="5">
        <v>49.39</v>
      </c>
      <c r="BX85" s="5">
        <v>247.88</v>
      </c>
      <c r="BY85" s="5">
        <v>49.13</v>
      </c>
      <c r="BZ85" s="7">
        <f t="shared" si="85"/>
        <v>15.5</v>
      </c>
      <c r="CA85" s="5">
        <v>266.87</v>
      </c>
      <c r="CB85" s="5">
        <v>52.83</v>
      </c>
      <c r="CC85" s="5">
        <v>262.07</v>
      </c>
      <c r="CD85" s="5">
        <v>51</v>
      </c>
      <c r="CE85" s="5">
        <v>263.58999999999997</v>
      </c>
      <c r="CF85" s="5">
        <v>55.19</v>
      </c>
      <c r="CG85" s="5">
        <v>254.05</v>
      </c>
      <c r="CH85" s="5">
        <v>49.68</v>
      </c>
      <c r="CI85" s="5">
        <v>251.52</v>
      </c>
      <c r="CJ85" s="5">
        <v>51.66</v>
      </c>
      <c r="CM85" s="13" t="s">
        <v>116</v>
      </c>
      <c r="CN85" s="20">
        <v>41.088799999999999</v>
      </c>
      <c r="CO85" s="20">
        <v>-85.138549999999995</v>
      </c>
      <c r="CP85" s="19">
        <v>0.44099999999999995</v>
      </c>
      <c r="CQ85" s="19">
        <v>0.41100000000000003</v>
      </c>
      <c r="CR85" s="19">
        <v>0.33500000000000002</v>
      </c>
      <c r="CS85" s="19">
        <v>0.43400000000000005</v>
      </c>
      <c r="CT85" s="98">
        <v>275.37222222222221</v>
      </c>
      <c r="CU85" s="98">
        <v>295.37222222222226</v>
      </c>
      <c r="CV85" s="98">
        <v>300.92777777777781</v>
      </c>
      <c r="CW85" s="98">
        <v>283.14999999999998</v>
      </c>
      <c r="CX85" s="104">
        <v>5</v>
      </c>
      <c r="CY85" s="104">
        <v>6</v>
      </c>
      <c r="CZ85" s="104">
        <v>7</v>
      </c>
      <c r="DA85" s="104">
        <v>8</v>
      </c>
      <c r="DB85" s="104">
        <v>2</v>
      </c>
      <c r="DG85">
        <f t="shared" si="32"/>
        <v>46</v>
      </c>
      <c r="DH85" s="5">
        <f t="shared" ca="1" si="33"/>
        <v>766.23</v>
      </c>
      <c r="DI85" s="5">
        <f t="shared" ca="1" si="34"/>
        <v>663.41</v>
      </c>
      <c r="DJ85" s="5">
        <f t="shared" ca="1" si="35"/>
        <v>656.32745213776104</v>
      </c>
      <c r="DK85" s="5">
        <f t="shared" ca="1" si="36"/>
        <v>756.98327810262731</v>
      </c>
      <c r="DL85" s="5">
        <f t="shared" ca="1" si="4"/>
        <v>37.936000000000014</v>
      </c>
      <c r="DM85" s="5">
        <f t="shared" ca="1" si="5"/>
        <v>37.720666666666681</v>
      </c>
      <c r="DN85" s="5">
        <f t="shared" ca="1" si="6"/>
        <v>37.318666666666651</v>
      </c>
      <c r="DO85" s="5">
        <f t="shared" ca="1" si="7"/>
        <v>37.47799999999998</v>
      </c>
      <c r="DP85" s="5">
        <f t="shared" ca="1" si="8"/>
        <v>15.504000000000005</v>
      </c>
      <c r="DQ85" s="5">
        <f t="shared" ca="1" si="9"/>
        <v>14.340000000000005</v>
      </c>
      <c r="DR85" s="5">
        <f t="shared" ca="1" si="10"/>
        <v>14.185999999999998</v>
      </c>
      <c r="DS85" s="5">
        <f t="shared" ca="1" si="11"/>
        <v>15.321999999999999</v>
      </c>
      <c r="DU85">
        <f t="shared" si="37"/>
        <v>46</v>
      </c>
      <c r="DV85" s="5">
        <v>896.68</v>
      </c>
      <c r="DW85" s="5">
        <v>856.6595415205627</v>
      </c>
      <c r="DX85" s="5">
        <v>847.51772016944676</v>
      </c>
      <c r="DY85" s="5">
        <v>885.85702859922571</v>
      </c>
      <c r="DZ85" s="5">
        <v>766.23</v>
      </c>
      <c r="EA85" s="5">
        <v>663.41</v>
      </c>
      <c r="EB85" s="5">
        <v>656.32745213776104</v>
      </c>
      <c r="EC85" s="5">
        <v>756.98327810262731</v>
      </c>
      <c r="EE85">
        <f t="shared" si="38"/>
        <v>46</v>
      </c>
      <c r="EF85" s="5">
        <v>22.807333333333325</v>
      </c>
      <c r="EG85" s="5">
        <v>21.788666666666657</v>
      </c>
      <c r="EH85" s="5">
        <v>21.557333333333339</v>
      </c>
      <c r="EI85" s="5">
        <v>22.52999999999999</v>
      </c>
      <c r="EJ85" s="5">
        <v>37.936000000000014</v>
      </c>
      <c r="EK85" s="5">
        <v>37.720666666666681</v>
      </c>
      <c r="EL85" s="5">
        <v>37.318666666666651</v>
      </c>
      <c r="EM85" s="5">
        <v>37.47799999999998</v>
      </c>
      <c r="EO85">
        <f t="shared" si="39"/>
        <v>46</v>
      </c>
      <c r="EP85" s="5">
        <v>15.530000000000005</v>
      </c>
      <c r="EQ85" s="5">
        <v>14.845999999999997</v>
      </c>
      <c r="ER85" s="5">
        <v>14.692</v>
      </c>
      <c r="ES85" s="5">
        <v>15.344000000000007</v>
      </c>
      <c r="ET85" s="5">
        <v>15.504000000000005</v>
      </c>
      <c r="EU85" s="5">
        <v>14.340000000000005</v>
      </c>
      <c r="EV85" s="5">
        <v>14.185999999999998</v>
      </c>
      <c r="EW85" s="5">
        <v>15.321999999999999</v>
      </c>
    </row>
    <row r="86" spans="9:153">
      <c r="I86">
        <f t="shared" si="79"/>
        <v>17.5</v>
      </c>
      <c r="J86">
        <f t="shared" ca="1" si="67"/>
        <v>0.11048193522614437</v>
      </c>
      <c r="K86">
        <f t="shared" ca="1" si="68"/>
        <v>3.0996588359321231E-2</v>
      </c>
      <c r="L86">
        <f t="shared" ca="1" si="69"/>
        <v>6.935944160647288E-2</v>
      </c>
      <c r="M86">
        <f t="shared" ca="1" si="70"/>
        <v>-2.0787766121859313E-2</v>
      </c>
      <c r="O86">
        <f t="shared" si="80"/>
        <v>17.5</v>
      </c>
      <c r="P86" s="5">
        <f t="shared" ca="1" si="71"/>
        <v>90</v>
      </c>
      <c r="Q86" s="5">
        <f t="shared" ca="1" si="72"/>
        <v>90</v>
      </c>
      <c r="R86" s="5">
        <f t="shared" ca="1" si="73"/>
        <v>90</v>
      </c>
      <c r="S86" s="5">
        <f t="shared" ca="1" si="74"/>
        <v>90</v>
      </c>
      <c r="U86">
        <f t="shared" si="81"/>
        <v>17.5</v>
      </c>
      <c r="V86" s="107">
        <f t="shared" ca="1" si="75"/>
        <v>6.1257422745431001E-17</v>
      </c>
      <c r="W86" s="107">
        <f t="shared" ca="1" si="76"/>
        <v>6.1257422745431001E-17</v>
      </c>
      <c r="X86" s="107">
        <f t="shared" ca="1" si="77"/>
        <v>6.1257422745431001E-17</v>
      </c>
      <c r="Y86" s="107">
        <f t="shared" ca="1" si="78"/>
        <v>6.1257422745431001E-17</v>
      </c>
      <c r="AO86">
        <f t="shared" ref="AO86" si="99">AO85+1</f>
        <v>16.5</v>
      </c>
      <c r="AP86" s="5">
        <v>274.89999999999998</v>
      </c>
      <c r="AQ86" s="5">
        <v>59.01</v>
      </c>
      <c r="AR86" s="5">
        <v>271.41000000000003</v>
      </c>
      <c r="AS86" s="5">
        <v>57.46</v>
      </c>
      <c r="AT86" s="5">
        <v>268.81</v>
      </c>
      <c r="AU86" s="5">
        <v>58.12</v>
      </c>
      <c r="AV86" s="5">
        <v>264.37</v>
      </c>
      <c r="AW86" s="5">
        <v>56.77</v>
      </c>
      <c r="AX86" s="5">
        <v>265.5</v>
      </c>
      <c r="AY86" s="5">
        <v>60.05</v>
      </c>
      <c r="AZ86" s="5">
        <v>271.08</v>
      </c>
      <c r="BA86" s="5">
        <v>66.31</v>
      </c>
      <c r="BB86">
        <f t="shared" si="83"/>
        <v>16.5</v>
      </c>
      <c r="BC86" s="5">
        <v>273.87</v>
      </c>
      <c r="BD86" s="5">
        <v>56.9</v>
      </c>
      <c r="BE86" s="5">
        <v>274.76</v>
      </c>
      <c r="BF86" s="5">
        <v>63.15</v>
      </c>
      <c r="BG86" s="5">
        <v>268.18</v>
      </c>
      <c r="BH86" s="5">
        <v>58.07</v>
      </c>
      <c r="BI86" s="5">
        <v>264.75</v>
      </c>
      <c r="BJ86" s="5">
        <v>57.84</v>
      </c>
      <c r="BK86" s="5">
        <v>264.75</v>
      </c>
      <c r="BL86" s="5">
        <v>60.67</v>
      </c>
      <c r="BM86" s="5">
        <v>258.49</v>
      </c>
      <c r="BN86" s="5">
        <v>57.29</v>
      </c>
      <c r="BO86">
        <f t="shared" si="84"/>
        <v>16.5</v>
      </c>
      <c r="BP86" s="5">
        <v>270.64999999999998</v>
      </c>
      <c r="BQ86" s="5">
        <v>58.09</v>
      </c>
      <c r="BR86">
        <v>271.39999999999998</v>
      </c>
      <c r="BS86">
        <v>62.1</v>
      </c>
      <c r="BT86" s="5">
        <v>267.92</v>
      </c>
      <c r="BU86" s="5">
        <v>60.05</v>
      </c>
      <c r="BV86" s="5">
        <v>265.64999999999998</v>
      </c>
      <c r="BW86" s="5">
        <v>60.08</v>
      </c>
      <c r="BX86" s="5">
        <v>260.95999999999998</v>
      </c>
      <c r="BY86" s="5">
        <v>58.92</v>
      </c>
      <c r="BZ86" s="7">
        <f t="shared" si="85"/>
        <v>16.5</v>
      </c>
      <c r="CA86" s="5">
        <v>274.64</v>
      </c>
      <c r="CB86" s="5">
        <v>65.540000000000006</v>
      </c>
      <c r="CC86" s="5">
        <v>271.26</v>
      </c>
      <c r="CD86" s="5">
        <v>63.15</v>
      </c>
      <c r="CE86" s="5">
        <v>273.05</v>
      </c>
      <c r="CF86" s="5">
        <v>66.92</v>
      </c>
      <c r="CG86" s="5">
        <v>265.45999999999998</v>
      </c>
      <c r="CH86" s="5">
        <v>60.61</v>
      </c>
      <c r="CI86" s="5">
        <v>263.82</v>
      </c>
      <c r="CJ86" s="5">
        <v>61.71</v>
      </c>
      <c r="CM86" s="13" t="s">
        <v>117</v>
      </c>
      <c r="CN86" s="20">
        <v>39.759680000000003</v>
      </c>
      <c r="CO86" s="20">
        <v>-86.163659999999993</v>
      </c>
      <c r="CP86" s="19">
        <v>0.42299999999999993</v>
      </c>
      <c r="CQ86" s="19">
        <v>0.40700000000000003</v>
      </c>
      <c r="CR86" s="19">
        <v>0.32400000000000001</v>
      </c>
      <c r="CS86" s="19">
        <v>0.39100000000000001</v>
      </c>
      <c r="CT86" s="98">
        <v>277.59444444444443</v>
      </c>
      <c r="CU86" s="98">
        <v>295.92777777777781</v>
      </c>
      <c r="CV86" s="98">
        <v>302.03888888888895</v>
      </c>
      <c r="CW86" s="98">
        <v>284.26111111111112</v>
      </c>
      <c r="CX86" s="104">
        <v>5</v>
      </c>
      <c r="CY86" s="104">
        <v>6</v>
      </c>
      <c r="CZ86" s="104">
        <v>7</v>
      </c>
      <c r="DA86" s="104">
        <v>8</v>
      </c>
      <c r="DB86" s="104">
        <v>2</v>
      </c>
      <c r="DG86">
        <f t="shared" si="32"/>
        <v>47</v>
      </c>
      <c r="DH86" s="5">
        <f t="shared" ca="1" si="33"/>
        <v>759.84</v>
      </c>
      <c r="DI86" s="5">
        <f t="shared" ca="1" si="34"/>
        <v>657.24</v>
      </c>
      <c r="DJ86" s="5">
        <f t="shared" ca="1" si="35"/>
        <v>650.2233228968845</v>
      </c>
      <c r="DK86" s="5">
        <f t="shared" ca="1" si="36"/>
        <v>750.67039144056014</v>
      </c>
      <c r="DL86" s="5">
        <f t="shared" ca="1" si="4"/>
        <v>36.932000000000016</v>
      </c>
      <c r="DM86" s="5">
        <f t="shared" ca="1" si="5"/>
        <v>36.718000000000018</v>
      </c>
      <c r="DN86" s="5">
        <f t="shared" ca="1" si="6"/>
        <v>36.327333333333314</v>
      </c>
      <c r="DO86" s="5">
        <f t="shared" ca="1" si="7"/>
        <v>36.485999999999976</v>
      </c>
      <c r="DP86" s="5">
        <f t="shared" ca="1" si="8"/>
        <v>14.833000000000006</v>
      </c>
      <c r="DQ86" s="5">
        <f t="shared" ca="1" si="9"/>
        <v>13.725000000000005</v>
      </c>
      <c r="DR86" s="5">
        <f t="shared" ca="1" si="10"/>
        <v>13.576999999999998</v>
      </c>
      <c r="DS86" s="5">
        <f t="shared" ca="1" si="11"/>
        <v>14.658999999999999</v>
      </c>
      <c r="DU86">
        <f t="shared" si="37"/>
        <v>47</v>
      </c>
      <c r="DV86" s="5">
        <v>892.77</v>
      </c>
      <c r="DW86" s="5">
        <v>852.92405192857291</v>
      </c>
      <c r="DX86" s="5">
        <v>843.82209376330127</v>
      </c>
      <c r="DY86" s="5">
        <v>881.9942224902203</v>
      </c>
      <c r="DZ86" s="5">
        <v>759.84</v>
      </c>
      <c r="EA86" s="5">
        <v>657.24</v>
      </c>
      <c r="EB86" s="5">
        <v>650.2233228968845</v>
      </c>
      <c r="EC86" s="5">
        <v>750.67039144056014</v>
      </c>
      <c r="EE86">
        <f t="shared" si="38"/>
        <v>47</v>
      </c>
      <c r="EF86" s="5">
        <v>22.282999999999991</v>
      </c>
      <c r="EG86" s="5">
        <v>21.287333333333322</v>
      </c>
      <c r="EH86" s="5">
        <v>21.061333333333341</v>
      </c>
      <c r="EI86" s="5">
        <v>22.011666666666656</v>
      </c>
      <c r="EJ86" s="5">
        <v>36.932000000000016</v>
      </c>
      <c r="EK86" s="5">
        <v>36.718000000000018</v>
      </c>
      <c r="EL86" s="5">
        <v>36.327333333333314</v>
      </c>
      <c r="EM86" s="5">
        <v>36.485999999999976</v>
      </c>
      <c r="EO86">
        <f t="shared" si="39"/>
        <v>47</v>
      </c>
      <c r="EP86" s="5">
        <v>14.865000000000006</v>
      </c>
      <c r="EQ86" s="5">
        <v>14.211999999999996</v>
      </c>
      <c r="ER86" s="5">
        <v>14.064</v>
      </c>
      <c r="ES86" s="5">
        <v>14.688000000000006</v>
      </c>
      <c r="ET86" s="5">
        <v>14.833000000000006</v>
      </c>
      <c r="EU86" s="5">
        <v>13.725000000000005</v>
      </c>
      <c r="EV86" s="5">
        <v>13.576999999999998</v>
      </c>
      <c r="EW86" s="5">
        <v>14.658999999999999</v>
      </c>
    </row>
    <row r="87" spans="9:153">
      <c r="I87">
        <f t="shared" si="79"/>
        <v>18.5</v>
      </c>
      <c r="J87">
        <f t="shared" ca="1" si="67"/>
        <v>-0.14450595726758925</v>
      </c>
      <c r="K87">
        <f t="shared" ca="1" si="68"/>
        <v>-0.21797891955477938</v>
      </c>
      <c r="L87">
        <f t="shared" ca="1" si="69"/>
        <v>-0.18009527519813948</v>
      </c>
      <c r="M87">
        <f t="shared" ca="1" si="70"/>
        <v>-0.26890376371081476</v>
      </c>
      <c r="O87">
        <f t="shared" si="80"/>
        <v>18.5</v>
      </c>
      <c r="P87" s="5">
        <f t="shared" ca="1" si="71"/>
        <v>90</v>
      </c>
      <c r="Q87" s="5">
        <f t="shared" ca="1" si="72"/>
        <v>90</v>
      </c>
      <c r="R87" s="5">
        <f t="shared" ca="1" si="73"/>
        <v>90</v>
      </c>
      <c r="S87" s="5">
        <f t="shared" ca="1" si="74"/>
        <v>90</v>
      </c>
      <c r="U87">
        <f t="shared" si="81"/>
        <v>18.5</v>
      </c>
      <c r="V87" s="107">
        <f t="shared" ca="1" si="75"/>
        <v>6.1257422745431001E-17</v>
      </c>
      <c r="W87" s="107">
        <f t="shared" ca="1" si="76"/>
        <v>6.1257422745431001E-17</v>
      </c>
      <c r="X87" s="107">
        <f t="shared" ca="1" si="77"/>
        <v>6.1257422745431001E-17</v>
      </c>
      <c r="Y87" s="107">
        <f t="shared" ca="1" si="78"/>
        <v>6.1257422745431001E-17</v>
      </c>
      <c r="AO87">
        <f t="shared" ref="AO87" si="100">AO86+1</f>
        <v>17.5</v>
      </c>
      <c r="AP87" s="5">
        <v>280.63</v>
      </c>
      <c r="AQ87" s="5">
        <v>72.7</v>
      </c>
      <c r="AR87" s="5">
        <v>278.49</v>
      </c>
      <c r="AS87" s="5">
        <v>70.319999999999993</v>
      </c>
      <c r="AT87" s="5">
        <v>277.19</v>
      </c>
      <c r="AU87" s="5">
        <v>69.650000000000006</v>
      </c>
      <c r="AV87" s="5">
        <v>274.13</v>
      </c>
      <c r="AW87" s="5">
        <v>68.209999999999994</v>
      </c>
      <c r="AX87" s="5">
        <v>275.69</v>
      </c>
      <c r="AY87" s="5">
        <v>70.8</v>
      </c>
      <c r="AZ87" s="5">
        <v>281.10000000000002</v>
      </c>
      <c r="BA87" s="5">
        <v>77.040000000000006</v>
      </c>
      <c r="BB87">
        <f t="shared" si="83"/>
        <v>17.5</v>
      </c>
      <c r="BC87" s="5">
        <v>279.69</v>
      </c>
      <c r="BD87" s="5">
        <v>70.260000000000005</v>
      </c>
      <c r="BE87" s="5">
        <v>281.62</v>
      </c>
      <c r="BF87" s="5">
        <v>75.98</v>
      </c>
      <c r="BG87" s="5">
        <v>276.81</v>
      </c>
      <c r="BH87" s="5">
        <v>70.150000000000006</v>
      </c>
      <c r="BI87" s="5">
        <v>274.63</v>
      </c>
      <c r="BJ87" s="5">
        <v>69.09</v>
      </c>
      <c r="BK87" s="5">
        <v>275.39</v>
      </c>
      <c r="BL87" s="5">
        <v>71.209999999999994</v>
      </c>
      <c r="BM87" s="5">
        <v>270.20999999999998</v>
      </c>
      <c r="BN87" s="5">
        <v>67.27</v>
      </c>
      <c r="BO87">
        <f t="shared" si="84"/>
        <v>17.5</v>
      </c>
      <c r="BP87" s="5">
        <v>277.95999999999998</v>
      </c>
      <c r="BQ87" s="5">
        <v>70.84</v>
      </c>
      <c r="BR87">
        <v>279.47000000000003</v>
      </c>
      <c r="BS87">
        <v>74.349999999999994</v>
      </c>
      <c r="BT87" s="5">
        <v>276.94</v>
      </c>
      <c r="BU87" s="5">
        <v>71.83</v>
      </c>
      <c r="BV87" s="5">
        <v>275.58999999999997</v>
      </c>
      <c r="BW87" s="5">
        <v>71.27</v>
      </c>
      <c r="BX87" s="5">
        <v>272.13</v>
      </c>
      <c r="BY87" s="5">
        <v>69.150000000000006</v>
      </c>
      <c r="BZ87" s="7">
        <f t="shared" si="85"/>
        <v>17.5</v>
      </c>
      <c r="CA87" s="5">
        <v>282.18</v>
      </c>
      <c r="CB87" s="5">
        <v>80.09</v>
      </c>
      <c r="CC87" s="5">
        <v>279.83</v>
      </c>
      <c r="CD87" s="5">
        <v>75.08</v>
      </c>
      <c r="CE87" s="5">
        <v>282.10000000000002</v>
      </c>
      <c r="CF87" s="5">
        <v>78.42</v>
      </c>
      <c r="CG87" s="5">
        <v>275.72000000000003</v>
      </c>
      <c r="CH87" s="5">
        <v>71.489999999999995</v>
      </c>
      <c r="CI87" s="5">
        <v>274.98</v>
      </c>
      <c r="CJ87" s="5">
        <v>71.83</v>
      </c>
      <c r="CM87" s="13" t="s">
        <v>118</v>
      </c>
      <c r="CN87" s="20">
        <v>39.465789999999998</v>
      </c>
      <c r="CO87" s="20">
        <v>-87.356759999999994</v>
      </c>
      <c r="CP87" s="19">
        <v>0.39600000000000002</v>
      </c>
      <c r="CQ87" s="19">
        <v>0.39300000000000002</v>
      </c>
      <c r="CR87" s="19">
        <v>0.29299999999999998</v>
      </c>
      <c r="CS87" s="19">
        <v>0.35199999999999998</v>
      </c>
      <c r="CT87" s="98">
        <v>278.70555555555558</v>
      </c>
      <c r="CU87" s="98">
        <v>297.59444444444449</v>
      </c>
      <c r="CV87" s="98">
        <v>303.70555555555558</v>
      </c>
      <c r="CW87" s="98">
        <v>285.92777777777781</v>
      </c>
      <c r="CX87" s="104">
        <v>5</v>
      </c>
      <c r="CY87" s="104">
        <v>6</v>
      </c>
      <c r="CZ87" s="104">
        <v>7</v>
      </c>
      <c r="DA87" s="104">
        <v>8</v>
      </c>
      <c r="DB87" s="104">
        <v>2</v>
      </c>
      <c r="DG87">
        <f t="shared" si="32"/>
        <v>48</v>
      </c>
      <c r="DH87" s="5">
        <f t="shared" ca="1" si="33"/>
        <v>753.24</v>
      </c>
      <c r="DI87" s="5">
        <f t="shared" ca="1" si="34"/>
        <v>650.78</v>
      </c>
      <c r="DJ87" s="5">
        <f t="shared" ca="1" si="35"/>
        <v>643.83228968844628</v>
      </c>
      <c r="DK87" s="5">
        <f t="shared" ca="1" si="36"/>
        <v>744.15003901964565</v>
      </c>
      <c r="DL87" s="5">
        <f t="shared" ca="1" si="4"/>
        <v>35.928000000000019</v>
      </c>
      <c r="DM87" s="5">
        <f t="shared" ca="1" si="5"/>
        <v>35.715333333333355</v>
      </c>
      <c r="DN87" s="5">
        <f t="shared" ca="1" si="6"/>
        <v>35.335999999999977</v>
      </c>
      <c r="DO87" s="5">
        <f t="shared" ca="1" si="7"/>
        <v>35.493999999999971</v>
      </c>
      <c r="DP87" s="5">
        <f t="shared" ca="1" si="8"/>
        <v>14.162000000000006</v>
      </c>
      <c r="DQ87" s="5">
        <f t="shared" ca="1" si="9"/>
        <v>13.110000000000005</v>
      </c>
      <c r="DR87" s="5">
        <f t="shared" ca="1" si="10"/>
        <v>12.967999999999998</v>
      </c>
      <c r="DS87" s="5">
        <f t="shared" ca="1" si="11"/>
        <v>13.995999999999999</v>
      </c>
      <c r="DU87">
        <f t="shared" si="37"/>
        <v>48</v>
      </c>
      <c r="DV87" s="5">
        <v>887.67</v>
      </c>
      <c r="DW87" s="5">
        <v>848.05167419989061</v>
      </c>
      <c r="DX87" s="5">
        <v>839.00171149441587</v>
      </c>
      <c r="DY87" s="5">
        <v>876.95577973934371</v>
      </c>
      <c r="DZ87" s="5">
        <v>753.24</v>
      </c>
      <c r="EA87" s="5">
        <v>650.78</v>
      </c>
      <c r="EB87" s="5">
        <v>643.83228968844628</v>
      </c>
      <c r="EC87" s="5">
        <v>744.15003901964565</v>
      </c>
      <c r="EE87">
        <f t="shared" si="38"/>
        <v>48</v>
      </c>
      <c r="EF87" s="5">
        <v>21.758666666666656</v>
      </c>
      <c r="EG87" s="5">
        <v>20.785999999999987</v>
      </c>
      <c r="EH87" s="5">
        <v>20.565333333333342</v>
      </c>
      <c r="EI87" s="5">
        <v>21.493333333333322</v>
      </c>
      <c r="EJ87" s="5">
        <v>35.928000000000019</v>
      </c>
      <c r="EK87" s="5">
        <v>35.715333333333355</v>
      </c>
      <c r="EL87" s="5">
        <v>35.335999999999977</v>
      </c>
      <c r="EM87" s="5">
        <v>35.493999999999971</v>
      </c>
      <c r="EO87">
        <f t="shared" si="39"/>
        <v>48</v>
      </c>
      <c r="EP87" s="5">
        <v>14.200000000000006</v>
      </c>
      <c r="EQ87" s="5">
        <v>13.577999999999996</v>
      </c>
      <c r="ER87" s="5">
        <v>13.436</v>
      </c>
      <c r="ES87" s="5">
        <v>14.032000000000005</v>
      </c>
      <c r="ET87" s="5">
        <v>14.162000000000006</v>
      </c>
      <c r="EU87" s="5">
        <v>13.110000000000005</v>
      </c>
      <c r="EV87" s="5">
        <v>12.967999999999998</v>
      </c>
      <c r="EW87" s="5">
        <v>13.995999999999999</v>
      </c>
    </row>
    <row r="88" spans="9:153">
      <c r="I88">
        <f t="shared" si="79"/>
        <v>19.5</v>
      </c>
      <c r="J88">
        <f t="shared" ca="1" si="67"/>
        <v>-0.38497326342508276</v>
      </c>
      <c r="K88">
        <f t="shared" ca="1" si="68"/>
        <v>-0.45259660205248148</v>
      </c>
      <c r="L88">
        <f t="shared" ca="1" si="69"/>
        <v>-0.41677177232646961</v>
      </c>
      <c r="M88">
        <f t="shared" ca="1" si="70"/>
        <v>-0.49937337784348268</v>
      </c>
      <c r="O88">
        <f t="shared" si="80"/>
        <v>19.5</v>
      </c>
      <c r="P88" s="5">
        <f t="shared" ca="1" si="71"/>
        <v>90</v>
      </c>
      <c r="Q88" s="5">
        <f t="shared" ca="1" si="72"/>
        <v>90</v>
      </c>
      <c r="R88" s="5">
        <f t="shared" ca="1" si="73"/>
        <v>90</v>
      </c>
      <c r="S88" s="5">
        <f t="shared" ca="1" si="74"/>
        <v>90</v>
      </c>
      <c r="U88">
        <f t="shared" si="81"/>
        <v>19.5</v>
      </c>
      <c r="V88" s="107">
        <f t="shared" ca="1" si="75"/>
        <v>6.1257422745431001E-17</v>
      </c>
      <c r="W88" s="107">
        <f t="shared" ca="1" si="76"/>
        <v>6.1257422745431001E-17</v>
      </c>
      <c r="X88" s="107">
        <f t="shared" ca="1" si="77"/>
        <v>6.1257422745431001E-17</v>
      </c>
      <c r="Y88" s="107">
        <f t="shared" ca="1" si="78"/>
        <v>6.1257422745431001E-17</v>
      </c>
      <c r="AO88">
        <f t="shared" ref="AO88" si="101">AO87+1</f>
        <v>18.5</v>
      </c>
      <c r="AP88" s="5">
        <v>286.57</v>
      </c>
      <c r="AQ88" s="5">
        <v>85.54</v>
      </c>
      <c r="AR88" s="5">
        <v>285.47000000000003</v>
      </c>
      <c r="AS88" s="5">
        <v>82.98</v>
      </c>
      <c r="AT88" s="5">
        <v>285.29000000000002</v>
      </c>
      <c r="AU88" s="5">
        <v>82.33</v>
      </c>
      <c r="AV88" s="5">
        <v>283.31</v>
      </c>
      <c r="AW88" s="5">
        <v>79.48</v>
      </c>
      <c r="AX88" s="5">
        <v>285.45</v>
      </c>
      <c r="AY88" s="5">
        <v>81.81</v>
      </c>
      <c r="AZ88" s="5">
        <v>291.08</v>
      </c>
      <c r="BA88" s="5">
        <v>87.48</v>
      </c>
      <c r="BB88">
        <f t="shared" si="83"/>
        <v>18.5</v>
      </c>
      <c r="BC88" s="5">
        <v>285.36</v>
      </c>
      <c r="BD88" s="5">
        <v>83.51</v>
      </c>
      <c r="BE88" s="5">
        <v>288.45999999999998</v>
      </c>
      <c r="BF88" s="5">
        <v>88.66</v>
      </c>
      <c r="BG88" s="5">
        <v>284.89999999999998</v>
      </c>
      <c r="BH88" s="5">
        <v>82.15</v>
      </c>
      <c r="BI88" s="5">
        <v>283.75</v>
      </c>
      <c r="BJ88" s="5">
        <v>80.400000000000006</v>
      </c>
      <c r="BK88" s="5">
        <v>285.35000000000002</v>
      </c>
      <c r="BL88" s="5">
        <v>81.81</v>
      </c>
      <c r="BM88" s="5">
        <v>280.89</v>
      </c>
      <c r="BN88" s="5">
        <v>77.430000000000007</v>
      </c>
      <c r="BO88">
        <f t="shared" si="84"/>
        <v>18.5</v>
      </c>
      <c r="BP88" s="5">
        <v>285.39999999999998</v>
      </c>
      <c r="BQ88" s="5">
        <v>83.22</v>
      </c>
      <c r="BR88">
        <v>287.77</v>
      </c>
      <c r="BS88">
        <v>86.19</v>
      </c>
      <c r="BT88" s="5">
        <v>285.93</v>
      </c>
      <c r="BU88" s="5">
        <v>83.22</v>
      </c>
      <c r="BV88" s="5">
        <v>285.36</v>
      </c>
      <c r="BW88" s="5">
        <v>82.2</v>
      </c>
      <c r="BX88" s="5">
        <v>282.85000000000002</v>
      </c>
      <c r="BY88" s="5">
        <v>79.16</v>
      </c>
      <c r="BZ88" s="7">
        <f t="shared" si="85"/>
        <v>18.5</v>
      </c>
      <c r="CA88" s="5">
        <v>289.97000000000003</v>
      </c>
      <c r="CB88" s="5">
        <v>90.11</v>
      </c>
      <c r="CC88" s="5">
        <v>288.37</v>
      </c>
      <c r="CD88" s="5">
        <v>86.5</v>
      </c>
      <c r="CE88" s="5">
        <v>291.27999999999997</v>
      </c>
      <c r="CF88" s="5">
        <v>89.52</v>
      </c>
      <c r="CG88" s="5">
        <v>285.56</v>
      </c>
      <c r="CH88" s="5">
        <v>82.22</v>
      </c>
      <c r="CI88" s="5">
        <v>285.67</v>
      </c>
      <c r="CJ88" s="5">
        <v>81.75</v>
      </c>
      <c r="CM88" s="13" t="s">
        <v>119</v>
      </c>
      <c r="CN88" s="20">
        <v>39.56523</v>
      </c>
      <c r="CO88" s="20">
        <v>-97.662660000000002</v>
      </c>
      <c r="CP88" s="19">
        <v>0.22300000000000003</v>
      </c>
      <c r="CQ88" s="19">
        <v>0.36100000000000004</v>
      </c>
      <c r="CR88" s="19">
        <v>0.32600000000000001</v>
      </c>
      <c r="CS88" s="19">
        <v>0.22799999999999998</v>
      </c>
      <c r="CT88" s="98">
        <v>279.26111111111112</v>
      </c>
      <c r="CU88" s="98">
        <v>296.48333333333335</v>
      </c>
      <c r="CV88" s="98">
        <v>304.81666666666672</v>
      </c>
      <c r="CW88" s="98">
        <v>284.26111111111112</v>
      </c>
      <c r="CX88" s="104">
        <v>1</v>
      </c>
      <c r="CY88" s="104">
        <v>2</v>
      </c>
      <c r="CZ88" s="104">
        <v>3</v>
      </c>
      <c r="DA88" s="104">
        <v>4</v>
      </c>
      <c r="DB88" s="104">
        <v>1</v>
      </c>
      <c r="DG88">
        <f t="shared" si="32"/>
        <v>49</v>
      </c>
      <c r="DH88" s="5">
        <f t="shared" ca="1" si="33"/>
        <v>746.33</v>
      </c>
      <c r="DI88" s="5">
        <f t="shared" ca="1" si="34"/>
        <v>644.1</v>
      </c>
      <c r="DJ88" s="5">
        <f t="shared" ca="1" si="35"/>
        <v>637.22360519427184</v>
      </c>
      <c r="DK88" s="5">
        <f t="shared" ca="1" si="36"/>
        <v>737.32342762138512</v>
      </c>
      <c r="DL88" s="5">
        <f t="shared" ca="1" si="4"/>
        <v>34.924000000000021</v>
      </c>
      <c r="DM88" s="5">
        <f t="shared" ca="1" si="5"/>
        <v>34.712666666666692</v>
      </c>
      <c r="DN88" s="5">
        <f t="shared" ca="1" si="6"/>
        <v>34.34466666666664</v>
      </c>
      <c r="DO88" s="5">
        <f t="shared" ca="1" si="7"/>
        <v>34.501999999999967</v>
      </c>
      <c r="DP88" s="5">
        <f t="shared" ca="1" si="8"/>
        <v>13.491000000000007</v>
      </c>
      <c r="DQ88" s="5">
        <f t="shared" ca="1" si="9"/>
        <v>12.495000000000005</v>
      </c>
      <c r="DR88" s="5">
        <f t="shared" ca="1" si="10"/>
        <v>12.358999999999998</v>
      </c>
      <c r="DS88" s="5">
        <f t="shared" ca="1" si="11"/>
        <v>13.332999999999998</v>
      </c>
      <c r="DU88">
        <f t="shared" si="37"/>
        <v>49</v>
      </c>
      <c r="DV88" s="5">
        <v>882.34</v>
      </c>
      <c r="DW88" s="5">
        <v>842.95956178932659</v>
      </c>
      <c r="DX88" s="5">
        <v>833.96393943693374</v>
      </c>
      <c r="DY88" s="5">
        <v>871.6901130997021</v>
      </c>
      <c r="DZ88" s="5">
        <v>746.33</v>
      </c>
      <c r="EA88" s="5">
        <v>644.1</v>
      </c>
      <c r="EB88" s="5">
        <v>637.22360519427184</v>
      </c>
      <c r="EC88" s="5">
        <v>737.32342762138512</v>
      </c>
      <c r="EE88">
        <f t="shared" si="38"/>
        <v>49</v>
      </c>
      <c r="EF88" s="5">
        <v>21.234333333333321</v>
      </c>
      <c r="EG88" s="5">
        <v>20.284666666666652</v>
      </c>
      <c r="EH88" s="5">
        <v>20.069333333333343</v>
      </c>
      <c r="EI88" s="5">
        <v>20.974999999999987</v>
      </c>
      <c r="EJ88" s="5">
        <v>34.924000000000021</v>
      </c>
      <c r="EK88" s="5">
        <v>34.712666666666692</v>
      </c>
      <c r="EL88" s="5">
        <v>34.34466666666664</v>
      </c>
      <c r="EM88" s="5">
        <v>34.501999999999967</v>
      </c>
      <c r="EO88">
        <f t="shared" si="39"/>
        <v>49</v>
      </c>
      <c r="EP88" s="5">
        <v>13.535000000000007</v>
      </c>
      <c r="EQ88" s="5">
        <v>12.943999999999996</v>
      </c>
      <c r="ER88" s="5">
        <v>12.808</v>
      </c>
      <c r="ES88" s="5">
        <v>13.376000000000005</v>
      </c>
      <c r="ET88" s="5">
        <v>13.491000000000007</v>
      </c>
      <c r="EU88" s="5">
        <v>12.495000000000005</v>
      </c>
      <c r="EV88" s="5">
        <v>12.358999999999998</v>
      </c>
      <c r="EW88" s="5">
        <v>13.332999999999998</v>
      </c>
    </row>
    <row r="89" spans="9:153">
      <c r="I89">
        <f t="shared" si="79"/>
        <v>20.5</v>
      </c>
      <c r="J89">
        <f t="shared" ca="1" si="67"/>
        <v>-0.59899599963505212</v>
      </c>
      <c r="K89">
        <f t="shared" ca="1" si="68"/>
        <v>-0.6564908436390543</v>
      </c>
      <c r="L89">
        <f t="shared" ca="1" si="69"/>
        <v>-0.62911731203157939</v>
      </c>
      <c r="M89">
        <f t="shared" ca="1" si="70"/>
        <v>-0.6956364882000915</v>
      </c>
      <c r="O89">
        <f t="shared" si="80"/>
        <v>20.5</v>
      </c>
      <c r="P89" s="5">
        <f t="shared" ca="1" si="71"/>
        <v>90</v>
      </c>
      <c r="Q89" s="5">
        <f t="shared" ca="1" si="72"/>
        <v>90</v>
      </c>
      <c r="R89" s="5">
        <f t="shared" ca="1" si="73"/>
        <v>90</v>
      </c>
      <c r="S89" s="5">
        <f t="shared" ca="1" si="74"/>
        <v>90</v>
      </c>
      <c r="U89">
        <f t="shared" si="81"/>
        <v>20.5</v>
      </c>
      <c r="V89" s="107">
        <f t="shared" ca="1" si="75"/>
        <v>6.1257422745431001E-17</v>
      </c>
      <c r="W89" s="107">
        <f t="shared" ca="1" si="76"/>
        <v>6.1257422745431001E-17</v>
      </c>
      <c r="X89" s="107">
        <f t="shared" ca="1" si="77"/>
        <v>6.1257422745431001E-17</v>
      </c>
      <c r="Y89" s="107">
        <f t="shared" ca="1" si="78"/>
        <v>6.1257422745431001E-17</v>
      </c>
      <c r="AO89">
        <f t="shared" ref="AO89" si="102">AO88+1</f>
        <v>19.5</v>
      </c>
      <c r="AP89" s="5">
        <v>293.02999999999997</v>
      </c>
      <c r="AQ89" s="5">
        <v>98.31</v>
      </c>
      <c r="AR89" s="5">
        <v>292.79000000000002</v>
      </c>
      <c r="AS89" s="5">
        <v>94.07</v>
      </c>
      <c r="AT89" s="5">
        <v>293.62</v>
      </c>
      <c r="AU89" s="5">
        <v>94.08</v>
      </c>
      <c r="AV89" s="5">
        <v>292.47000000000003</v>
      </c>
      <c r="AW89" s="5">
        <v>90.62</v>
      </c>
      <c r="AX89" s="5">
        <v>295.29000000000002</v>
      </c>
      <c r="AY89" s="5">
        <v>92.28</v>
      </c>
      <c r="AZ89" s="5">
        <v>301.49</v>
      </c>
      <c r="BA89" s="5">
        <v>97.41</v>
      </c>
      <c r="BB89">
        <f t="shared" si="83"/>
        <v>19.5</v>
      </c>
      <c r="BC89" s="5">
        <v>291.97000000000003</v>
      </c>
      <c r="BD89" s="5">
        <v>96.35</v>
      </c>
      <c r="BE89" s="5">
        <v>296.41000000000003</v>
      </c>
      <c r="BF89" s="5">
        <v>100.77</v>
      </c>
      <c r="BG89" s="5">
        <v>293.64</v>
      </c>
      <c r="BH89" s="5">
        <v>93.75</v>
      </c>
      <c r="BI89" s="5">
        <v>293.33</v>
      </c>
      <c r="BJ89" s="5">
        <v>91.17</v>
      </c>
      <c r="BK89" s="5">
        <v>295.79000000000002</v>
      </c>
      <c r="BL89" s="5">
        <v>90.85</v>
      </c>
      <c r="BM89" s="5">
        <v>291.70999999999998</v>
      </c>
      <c r="BN89" s="5">
        <v>86.96</v>
      </c>
      <c r="BO89">
        <f t="shared" si="84"/>
        <v>19.5</v>
      </c>
      <c r="BP89" s="5">
        <v>293.38</v>
      </c>
      <c r="BQ89" s="5">
        <v>95.19</v>
      </c>
      <c r="BR89">
        <v>296.70999999999998</v>
      </c>
      <c r="BS89">
        <v>97.93</v>
      </c>
      <c r="BT89" s="5">
        <v>295.33</v>
      </c>
      <c r="BU89" s="5">
        <v>94.09</v>
      </c>
      <c r="BV89" s="5">
        <v>295.41000000000003</v>
      </c>
      <c r="BW89" s="5">
        <v>92.36</v>
      </c>
      <c r="BX89" s="5">
        <v>293.61</v>
      </c>
      <c r="BY89" s="5">
        <v>87.74</v>
      </c>
      <c r="BZ89" s="7">
        <f t="shared" si="85"/>
        <v>19.5</v>
      </c>
      <c r="CA89" s="5">
        <v>298.66000000000003</v>
      </c>
      <c r="CB89" s="5">
        <v>101.6</v>
      </c>
      <c r="CC89" s="5">
        <v>297.57</v>
      </c>
      <c r="CD89" s="5">
        <v>97.81</v>
      </c>
      <c r="CE89" s="5">
        <v>301.24</v>
      </c>
      <c r="CF89" s="5">
        <v>99.98</v>
      </c>
      <c r="CG89" s="5">
        <v>295.69</v>
      </c>
      <c r="CH89" s="5">
        <v>92.48</v>
      </c>
      <c r="CI89" s="5">
        <v>296.55</v>
      </c>
      <c r="CJ89" s="5">
        <v>91.15</v>
      </c>
      <c r="CM89" s="13" t="s">
        <v>120</v>
      </c>
      <c r="CN89" s="20">
        <v>37.749110000000002</v>
      </c>
      <c r="CO89" s="20">
        <v>-100.02426</v>
      </c>
      <c r="CP89" s="19">
        <v>0.18</v>
      </c>
      <c r="CQ89" s="19">
        <v>0.30299999999999999</v>
      </c>
      <c r="CR89" s="19">
        <v>0.28400000000000003</v>
      </c>
      <c r="CS89" s="19">
        <v>0.17399999999999999</v>
      </c>
      <c r="CT89" s="98">
        <v>282.03888888888889</v>
      </c>
      <c r="CU89" s="98">
        <v>298.15000000000003</v>
      </c>
      <c r="CV89" s="98">
        <v>305.92777777777781</v>
      </c>
      <c r="CW89" s="98">
        <v>286.48333333333335</v>
      </c>
      <c r="CX89" s="104">
        <v>1</v>
      </c>
      <c r="CY89" s="104">
        <v>2</v>
      </c>
      <c r="CZ89" s="104">
        <v>3</v>
      </c>
      <c r="DA89" s="104">
        <v>4</v>
      </c>
      <c r="DB89" s="104">
        <v>1</v>
      </c>
      <c r="DG89">
        <f t="shared" si="32"/>
        <v>50</v>
      </c>
      <c r="DH89" s="5">
        <f t="shared" ca="1" si="33"/>
        <v>739.15</v>
      </c>
      <c r="DI89" s="5">
        <f t="shared" ca="1" si="34"/>
        <v>637.14</v>
      </c>
      <c r="DJ89" s="5">
        <f t="shared" ca="1" si="35"/>
        <v>630.33790997279675</v>
      </c>
      <c r="DK89" s="5">
        <f t="shared" ca="1" si="36"/>
        <v>730.23007453317803</v>
      </c>
      <c r="DL89" s="5">
        <f t="shared" ca="1" si="4"/>
        <v>33.919999999999995</v>
      </c>
      <c r="DM89" s="5">
        <f t="shared" ca="1" si="5"/>
        <v>33.71</v>
      </c>
      <c r="DN89" s="5">
        <f t="shared" ca="1" si="6"/>
        <v>33.353333333333332</v>
      </c>
      <c r="DO89" s="5">
        <f t="shared" ca="1" si="7"/>
        <v>33.51</v>
      </c>
      <c r="DP89" s="5">
        <f t="shared" ca="1" si="8"/>
        <v>12.82</v>
      </c>
      <c r="DQ89" s="5">
        <f t="shared" ca="1" si="9"/>
        <v>11.88</v>
      </c>
      <c r="DR89" s="5">
        <f t="shared" ca="1" si="10"/>
        <v>11.75</v>
      </c>
      <c r="DS89" s="5">
        <f t="shared" ca="1" si="11"/>
        <v>12.67</v>
      </c>
      <c r="DU89">
        <f t="shared" si="37"/>
        <v>50</v>
      </c>
      <c r="DV89" s="5">
        <v>876.76</v>
      </c>
      <c r="DW89" s="5">
        <v>837.62860733323873</v>
      </c>
      <c r="DX89" s="5">
        <v>828.6898741309767</v>
      </c>
      <c r="DY89" s="5">
        <v>866.17746397227234</v>
      </c>
      <c r="DZ89" s="5">
        <v>739.15</v>
      </c>
      <c r="EA89" s="5">
        <v>637.14</v>
      </c>
      <c r="EB89" s="5">
        <v>630.33790997279675</v>
      </c>
      <c r="EC89" s="5">
        <v>730.23007453317803</v>
      </c>
      <c r="EE89">
        <f t="shared" si="38"/>
        <v>50</v>
      </c>
      <c r="EF89" s="5">
        <v>20.71</v>
      </c>
      <c r="EG89" s="5">
        <v>19.783333333333335</v>
      </c>
      <c r="EH89" s="5">
        <v>19.573333333333334</v>
      </c>
      <c r="EI89" s="5">
        <v>20.456666666666667</v>
      </c>
      <c r="EJ89" s="5">
        <v>33.919999999999995</v>
      </c>
      <c r="EK89" s="5">
        <v>33.71</v>
      </c>
      <c r="EL89" s="5">
        <v>33.353333333333332</v>
      </c>
      <c r="EM89" s="5">
        <v>33.51</v>
      </c>
      <c r="EO89">
        <f t="shared" si="39"/>
        <v>50</v>
      </c>
      <c r="EP89" s="5">
        <v>12.87</v>
      </c>
      <c r="EQ89" s="5">
        <v>12.31</v>
      </c>
      <c r="ER89" s="5">
        <v>12.18</v>
      </c>
      <c r="ES89" s="5">
        <v>12.72</v>
      </c>
      <c r="ET89" s="5">
        <v>12.82</v>
      </c>
      <c r="EU89" s="5">
        <v>11.88</v>
      </c>
      <c r="EV89" s="5">
        <v>11.75</v>
      </c>
      <c r="EW89" s="5">
        <v>12.67</v>
      </c>
    </row>
    <row r="90" spans="9:153">
      <c r="I90">
        <f t="shared" si="79"/>
        <v>21.5</v>
      </c>
      <c r="J90">
        <f t="shared" ca="1" si="67"/>
        <v>-0.69109807165595938</v>
      </c>
      <c r="K90">
        <f t="shared" ca="1" si="68"/>
        <v>-0.74144543957702636</v>
      </c>
      <c r="L90">
        <f t="shared" ca="1" si="69"/>
        <v>-0.71503361181894942</v>
      </c>
      <c r="M90">
        <f t="shared" ca="1" si="70"/>
        <v>-0.77633718875839464</v>
      </c>
      <c r="O90">
        <f t="shared" si="80"/>
        <v>21.5</v>
      </c>
      <c r="P90" s="5">
        <f t="shared" ca="1" si="71"/>
        <v>90</v>
      </c>
      <c r="Q90" s="5">
        <f t="shared" ca="1" si="72"/>
        <v>90</v>
      </c>
      <c r="R90" s="5">
        <f t="shared" ca="1" si="73"/>
        <v>90</v>
      </c>
      <c r="S90" s="5">
        <f t="shared" ca="1" si="74"/>
        <v>90</v>
      </c>
      <c r="U90">
        <f t="shared" si="81"/>
        <v>21.5</v>
      </c>
      <c r="V90" s="107">
        <f t="shared" ca="1" si="75"/>
        <v>6.1257422745431001E-17</v>
      </c>
      <c r="W90" s="107">
        <f t="shared" ca="1" si="76"/>
        <v>6.1257422745431001E-17</v>
      </c>
      <c r="X90" s="107">
        <f t="shared" ca="1" si="77"/>
        <v>6.1257422745431001E-17</v>
      </c>
      <c r="Y90" s="107">
        <f t="shared" ca="1" si="78"/>
        <v>6.1257422745431001E-17</v>
      </c>
      <c r="AO90">
        <f t="shared" ref="AO90" si="103">AO89+1</f>
        <v>20.5</v>
      </c>
      <c r="AP90" s="5">
        <v>301.17</v>
      </c>
      <c r="AQ90" s="5">
        <v>110.48</v>
      </c>
      <c r="AR90" s="5">
        <v>301.57</v>
      </c>
      <c r="AS90" s="5">
        <v>107.08</v>
      </c>
      <c r="AT90" s="5">
        <v>303.27999999999997</v>
      </c>
      <c r="AU90" s="5">
        <v>104.81</v>
      </c>
      <c r="AV90" s="5">
        <v>302.68</v>
      </c>
      <c r="AW90" s="5">
        <v>100.77</v>
      </c>
      <c r="AX90" s="5">
        <v>306.23</v>
      </c>
      <c r="AY90" s="5">
        <v>101.67</v>
      </c>
      <c r="AZ90" s="5">
        <v>313.25</v>
      </c>
      <c r="BA90" s="5">
        <v>106.07</v>
      </c>
      <c r="BB90">
        <f t="shared" si="83"/>
        <v>20.5</v>
      </c>
      <c r="BC90" s="5">
        <v>299.88</v>
      </c>
      <c r="BD90" s="5">
        <v>108.47</v>
      </c>
      <c r="BE90" s="5">
        <v>305.92</v>
      </c>
      <c r="BF90" s="5">
        <v>112.97</v>
      </c>
      <c r="BG90" s="5">
        <v>303.44</v>
      </c>
      <c r="BH90" s="5">
        <v>104.25</v>
      </c>
      <c r="BI90" s="5">
        <v>303.77</v>
      </c>
      <c r="BJ90" s="5">
        <v>101.15</v>
      </c>
      <c r="BK90" s="5">
        <v>307.02999999999997</v>
      </c>
      <c r="BL90" s="5">
        <v>100.77</v>
      </c>
      <c r="BM90" s="5">
        <v>303.02999999999997</v>
      </c>
      <c r="BN90" s="5">
        <v>95.84</v>
      </c>
      <c r="BO90">
        <f t="shared" si="84"/>
        <v>20.5</v>
      </c>
      <c r="BP90" s="5">
        <v>302.56</v>
      </c>
      <c r="BQ90" s="5">
        <v>106.38</v>
      </c>
      <c r="BR90">
        <v>306.94</v>
      </c>
      <c r="BS90">
        <v>107.8</v>
      </c>
      <c r="BT90" s="5">
        <v>305.77999999999997</v>
      </c>
      <c r="BU90" s="5">
        <v>104.13</v>
      </c>
      <c r="BV90" s="5">
        <v>306.35000000000002</v>
      </c>
      <c r="BW90" s="5">
        <v>101.81</v>
      </c>
      <c r="BX90" s="5">
        <v>304.99</v>
      </c>
      <c r="BY90" s="5">
        <v>97.63</v>
      </c>
      <c r="BZ90" s="7">
        <f t="shared" si="85"/>
        <v>20.5</v>
      </c>
      <c r="CA90" s="5">
        <v>308.94</v>
      </c>
      <c r="CB90" s="5">
        <v>112.07</v>
      </c>
      <c r="CC90" s="5">
        <v>308.07</v>
      </c>
      <c r="CD90" s="5">
        <v>107.85</v>
      </c>
      <c r="CE90" s="5">
        <v>312.58999999999997</v>
      </c>
      <c r="CF90" s="5">
        <v>109.2</v>
      </c>
      <c r="CG90" s="5">
        <v>306.70999999999998</v>
      </c>
      <c r="CH90" s="5">
        <v>102.3</v>
      </c>
      <c r="CI90" s="5">
        <v>308.18</v>
      </c>
      <c r="CJ90" s="5">
        <v>99.68</v>
      </c>
      <c r="CM90" s="13" t="s">
        <v>121</v>
      </c>
      <c r="CN90" s="20">
        <v>39.3506</v>
      </c>
      <c r="CO90" s="20">
        <v>-101.7085</v>
      </c>
      <c r="CP90" s="19">
        <v>0.24099999999999994</v>
      </c>
      <c r="CQ90" s="19">
        <v>0.34400000000000003</v>
      </c>
      <c r="CR90" s="19">
        <v>0.308</v>
      </c>
      <c r="CS90" s="19">
        <v>0.22399999999999998</v>
      </c>
      <c r="CT90" s="98">
        <v>280.37222222222221</v>
      </c>
      <c r="CU90" s="98">
        <v>295.92777777777781</v>
      </c>
      <c r="CV90" s="98">
        <v>303.70555555555558</v>
      </c>
      <c r="CW90" s="98">
        <v>284.26111111111112</v>
      </c>
      <c r="CX90" s="104">
        <v>1</v>
      </c>
      <c r="CY90" s="104">
        <v>2</v>
      </c>
      <c r="CZ90" s="104">
        <v>3</v>
      </c>
      <c r="DA90" s="104">
        <v>4</v>
      </c>
      <c r="DB90" s="104">
        <v>1</v>
      </c>
      <c r="DG90">
        <f t="shared" si="32"/>
        <v>51</v>
      </c>
      <c r="DH90" s="5">
        <f t="shared" ca="1" si="33"/>
        <v>731.62</v>
      </c>
      <c r="DI90" s="5">
        <f t="shared" ca="1" si="34"/>
        <v>629.88</v>
      </c>
      <c r="DJ90" s="5">
        <f t="shared" ca="1" si="35"/>
        <v>623.15541754349942</v>
      </c>
      <c r="DK90" s="5">
        <f t="shared" ca="1" si="36"/>
        <v>722.79094518022555</v>
      </c>
      <c r="DL90" s="5">
        <f t="shared" ca="1" si="4"/>
        <v>33.08</v>
      </c>
      <c r="DM90" s="5">
        <f t="shared" ca="1" si="5"/>
        <v>32.866666666666667</v>
      </c>
      <c r="DN90" s="5">
        <f t="shared" ca="1" si="6"/>
        <v>32.518999999999998</v>
      </c>
      <c r="DO90" s="5">
        <f t="shared" ca="1" si="7"/>
        <v>32.68033333333333</v>
      </c>
      <c r="DP90" s="5">
        <f t="shared" ca="1" si="8"/>
        <v>12.289</v>
      </c>
      <c r="DQ90" s="5">
        <f t="shared" ca="1" si="9"/>
        <v>11.393000000000001</v>
      </c>
      <c r="DR90" s="5">
        <f t="shared" ca="1" si="10"/>
        <v>11.269</v>
      </c>
      <c r="DS90" s="5">
        <f t="shared" ca="1" si="11"/>
        <v>12.145</v>
      </c>
      <c r="DU90">
        <f t="shared" si="37"/>
        <v>51</v>
      </c>
      <c r="DV90" s="5">
        <v>870.92</v>
      </c>
      <c r="DW90" s="5">
        <v>832.04925714980641</v>
      </c>
      <c r="DX90" s="5">
        <v>823.17006384660601</v>
      </c>
      <c r="DY90" s="5">
        <v>860.40795305754307</v>
      </c>
      <c r="DZ90" s="5">
        <v>731.62</v>
      </c>
      <c r="EA90" s="5">
        <v>629.88</v>
      </c>
      <c r="EB90" s="5">
        <v>623.15541754349942</v>
      </c>
      <c r="EC90" s="5">
        <v>722.79094518022555</v>
      </c>
      <c r="EE90">
        <f t="shared" si="38"/>
        <v>51</v>
      </c>
      <c r="EF90" s="5">
        <v>20.266000000000002</v>
      </c>
      <c r="EG90" s="5">
        <v>19.360000000000003</v>
      </c>
      <c r="EH90" s="5">
        <v>19.154333333333334</v>
      </c>
      <c r="EI90" s="5">
        <v>20.018666666666668</v>
      </c>
      <c r="EJ90" s="5">
        <v>33.08</v>
      </c>
      <c r="EK90" s="5">
        <v>32.866666666666667</v>
      </c>
      <c r="EL90" s="5">
        <v>32.518999999999998</v>
      </c>
      <c r="EM90" s="5">
        <v>32.68033333333333</v>
      </c>
      <c r="EO90">
        <f t="shared" si="39"/>
        <v>51</v>
      </c>
      <c r="EP90" s="5">
        <v>12.343</v>
      </c>
      <c r="EQ90" s="5">
        <v>11.806000000000001</v>
      </c>
      <c r="ER90" s="5">
        <v>11.680999999999999</v>
      </c>
      <c r="ES90" s="5">
        <v>12.199</v>
      </c>
      <c r="ET90" s="5">
        <v>12.289</v>
      </c>
      <c r="EU90" s="5">
        <v>11.393000000000001</v>
      </c>
      <c r="EV90" s="5">
        <v>11.269</v>
      </c>
      <c r="EW90" s="5">
        <v>12.145</v>
      </c>
    </row>
    <row r="91" spans="9:153">
      <c r="I91">
        <f t="shared" si="79"/>
        <v>22.5</v>
      </c>
      <c r="J91">
        <f t="shared" ca="1" si="67"/>
        <v>-0.89238490202775944</v>
      </c>
      <c r="K91">
        <f t="shared" ca="1" si="68"/>
        <v>-0.91795804890306198</v>
      </c>
      <c r="L91">
        <f t="shared" ca="1" si="69"/>
        <v>-0.90529424810204928</v>
      </c>
      <c r="M91">
        <f t="shared" ca="1" si="70"/>
        <v>-0.93483356428045372</v>
      </c>
      <c r="O91">
        <f t="shared" si="80"/>
        <v>22.5</v>
      </c>
      <c r="P91" s="5">
        <f t="shared" ca="1" si="71"/>
        <v>90</v>
      </c>
      <c r="Q91" s="5">
        <f t="shared" ca="1" si="72"/>
        <v>90</v>
      </c>
      <c r="R91" s="5">
        <f t="shared" ca="1" si="73"/>
        <v>90</v>
      </c>
      <c r="S91" s="5">
        <f t="shared" ca="1" si="74"/>
        <v>90</v>
      </c>
      <c r="U91">
        <f t="shared" si="81"/>
        <v>22.5</v>
      </c>
      <c r="V91" s="107">
        <f t="shared" ca="1" si="75"/>
        <v>6.1257422745431001E-17</v>
      </c>
      <c r="W91" s="107">
        <f t="shared" ca="1" si="76"/>
        <v>6.1257422745431001E-17</v>
      </c>
      <c r="X91" s="107">
        <f t="shared" ca="1" si="77"/>
        <v>6.1257422745431001E-17</v>
      </c>
      <c r="Y91" s="107">
        <f t="shared" ca="1" si="78"/>
        <v>6.1257422745431001E-17</v>
      </c>
      <c r="AO91">
        <f t="shared" ref="AO91" si="104">AO90+1</f>
        <v>21.5</v>
      </c>
      <c r="AP91" s="5">
        <v>306.04000000000002</v>
      </c>
      <c r="AQ91" s="5">
        <v>115.96</v>
      </c>
      <c r="AR91" s="5">
        <v>306.66000000000003</v>
      </c>
      <c r="AS91" s="5">
        <v>112.18</v>
      </c>
      <c r="AT91" s="5">
        <v>308.74</v>
      </c>
      <c r="AU91" s="5">
        <v>109.78</v>
      </c>
      <c r="AV91" s="5">
        <v>308.29000000000002</v>
      </c>
      <c r="AW91" s="5">
        <v>105.52</v>
      </c>
      <c r="AX91" s="5">
        <v>312.2</v>
      </c>
      <c r="AY91" s="5">
        <v>105.97</v>
      </c>
      <c r="AZ91" s="5">
        <v>319.7</v>
      </c>
      <c r="BA91" s="5">
        <v>109.72</v>
      </c>
      <c r="BB91">
        <f t="shared" si="83"/>
        <v>21.5</v>
      </c>
      <c r="BC91" s="5">
        <v>304.57</v>
      </c>
      <c r="BD91" s="5">
        <v>114.1</v>
      </c>
      <c r="BE91" s="5">
        <v>311.52</v>
      </c>
      <c r="BF91" s="5">
        <v>116.8</v>
      </c>
      <c r="BG91" s="5">
        <v>308.94</v>
      </c>
      <c r="BH91" s="5">
        <v>109.15</v>
      </c>
      <c r="BI91" s="5">
        <v>309.48</v>
      </c>
      <c r="BJ91" s="5">
        <v>105.78</v>
      </c>
      <c r="BK91" s="5">
        <v>313.12</v>
      </c>
      <c r="BL91" s="5">
        <v>104.78</v>
      </c>
      <c r="BM91" s="5">
        <v>309.02</v>
      </c>
      <c r="BN91" s="5">
        <v>99.88</v>
      </c>
      <c r="BO91">
        <f t="shared" si="84"/>
        <v>21.5</v>
      </c>
      <c r="BP91" s="5">
        <v>307.82</v>
      </c>
      <c r="BQ91" s="5">
        <v>111.55</v>
      </c>
      <c r="BR91">
        <v>312.76</v>
      </c>
      <c r="BS91">
        <v>112.46</v>
      </c>
      <c r="BT91" s="5">
        <v>311.58</v>
      </c>
      <c r="BU91" s="5">
        <v>108.53</v>
      </c>
      <c r="BV91" s="5">
        <v>312.32</v>
      </c>
      <c r="BW91" s="5">
        <v>106.03</v>
      </c>
      <c r="BX91" s="5">
        <v>311.05</v>
      </c>
      <c r="BY91" s="5">
        <v>101.6</v>
      </c>
      <c r="BZ91" s="7">
        <f t="shared" si="85"/>
        <v>21.5</v>
      </c>
      <c r="CA91" s="5">
        <v>314.92</v>
      </c>
      <c r="CB91" s="5">
        <v>116.73</v>
      </c>
      <c r="CC91" s="5">
        <v>314.02</v>
      </c>
      <c r="CD91" s="5">
        <v>112.41</v>
      </c>
      <c r="CE91" s="5">
        <v>318.95999999999998</v>
      </c>
      <c r="CF91" s="5">
        <v>113.26</v>
      </c>
      <c r="CG91" s="5">
        <v>312.72000000000003</v>
      </c>
      <c r="CH91" s="5">
        <v>105.97</v>
      </c>
      <c r="CI91" s="5">
        <v>314.41000000000003</v>
      </c>
      <c r="CJ91" s="5">
        <v>103.49</v>
      </c>
      <c r="CM91" s="13" t="s">
        <v>122</v>
      </c>
      <c r="CN91" s="20">
        <v>39.019440000000003</v>
      </c>
      <c r="CO91" s="20">
        <v>-95.691909999999993</v>
      </c>
      <c r="CP91" s="19">
        <v>0.30399999999999994</v>
      </c>
      <c r="CQ91" s="19">
        <v>0.35100000000000009</v>
      </c>
      <c r="CR91" s="19">
        <v>0.252</v>
      </c>
      <c r="CS91" s="19">
        <v>0.27700000000000002</v>
      </c>
      <c r="CT91" s="98">
        <v>280.37222222222221</v>
      </c>
      <c r="CU91" s="98">
        <v>297.59444444444449</v>
      </c>
      <c r="CV91" s="98">
        <v>304.81666666666672</v>
      </c>
      <c r="CW91" s="98">
        <v>285.92777777777781</v>
      </c>
      <c r="CX91" s="104">
        <v>5</v>
      </c>
      <c r="CY91" s="104">
        <v>6</v>
      </c>
      <c r="CZ91" s="104">
        <v>7</v>
      </c>
      <c r="DA91" s="104">
        <v>8</v>
      </c>
      <c r="DB91" s="104">
        <v>2</v>
      </c>
      <c r="DG91">
        <f t="shared" si="32"/>
        <v>52</v>
      </c>
      <c r="DH91" s="5">
        <f t="shared" ca="1" si="33"/>
        <v>723.86</v>
      </c>
      <c r="DI91" s="5">
        <f t="shared" ca="1" si="34"/>
        <v>622.41999999999996</v>
      </c>
      <c r="DJ91" s="5">
        <f t="shared" ca="1" si="35"/>
        <v>615.77506030898724</v>
      </c>
      <c r="DK91" s="5">
        <f t="shared" ca="1" si="36"/>
        <v>715.12459142472608</v>
      </c>
      <c r="DL91" s="5">
        <f t="shared" ca="1" si="4"/>
        <v>32.24</v>
      </c>
      <c r="DM91" s="5">
        <f t="shared" ca="1" si="5"/>
        <v>32.023333333333333</v>
      </c>
      <c r="DN91" s="5">
        <f t="shared" ca="1" si="6"/>
        <v>31.684666666666665</v>
      </c>
      <c r="DO91" s="5">
        <f t="shared" ca="1" si="7"/>
        <v>31.850666666666662</v>
      </c>
      <c r="DP91" s="5">
        <f t="shared" ca="1" si="8"/>
        <v>11.757999999999999</v>
      </c>
      <c r="DQ91" s="5">
        <f t="shared" ca="1" si="9"/>
        <v>10.906000000000001</v>
      </c>
      <c r="DR91" s="5">
        <f t="shared" ca="1" si="10"/>
        <v>10.788</v>
      </c>
      <c r="DS91" s="5">
        <f t="shared" ca="1" si="11"/>
        <v>11.62</v>
      </c>
      <c r="DU91">
        <f t="shared" si="37"/>
        <v>52</v>
      </c>
      <c r="DV91" s="5">
        <v>864.97</v>
      </c>
      <c r="DW91" s="5">
        <v>826.36481646634377</v>
      </c>
      <c r="DX91" s="5">
        <v>817.54628453290638</v>
      </c>
      <c r="DY91" s="5">
        <v>854.52976984818702</v>
      </c>
      <c r="DZ91" s="5">
        <v>723.86</v>
      </c>
      <c r="EA91" s="5">
        <v>622.41999999999996</v>
      </c>
      <c r="EB91" s="5">
        <v>615.77506030898724</v>
      </c>
      <c r="EC91" s="5">
        <v>715.12459142472608</v>
      </c>
      <c r="EE91">
        <f t="shared" si="38"/>
        <v>52</v>
      </c>
      <c r="EF91" s="5">
        <v>19.822000000000003</v>
      </c>
      <c r="EG91" s="5">
        <v>18.936666666666671</v>
      </c>
      <c r="EH91" s="5">
        <v>18.735333333333333</v>
      </c>
      <c r="EI91" s="5">
        <v>19.580666666666669</v>
      </c>
      <c r="EJ91" s="5">
        <v>32.24</v>
      </c>
      <c r="EK91" s="5">
        <v>32.023333333333333</v>
      </c>
      <c r="EL91" s="5">
        <v>31.684666666666665</v>
      </c>
      <c r="EM91" s="5">
        <v>31.850666666666662</v>
      </c>
      <c r="EO91">
        <f t="shared" si="39"/>
        <v>52</v>
      </c>
      <c r="EP91" s="5">
        <v>11.816000000000001</v>
      </c>
      <c r="EQ91" s="5">
        <v>11.302000000000001</v>
      </c>
      <c r="ER91" s="5">
        <v>11.181999999999999</v>
      </c>
      <c r="ES91" s="5">
        <v>11.677999999999999</v>
      </c>
      <c r="ET91" s="5">
        <v>11.757999999999999</v>
      </c>
      <c r="EU91" s="5">
        <v>10.906000000000001</v>
      </c>
      <c r="EV91" s="5">
        <v>10.788</v>
      </c>
      <c r="EW91" s="5">
        <v>11.62</v>
      </c>
    </row>
    <row r="92" spans="9:153">
      <c r="I92">
        <f t="shared" si="79"/>
        <v>23.5</v>
      </c>
      <c r="J92">
        <f t="shared" ca="1" si="67"/>
        <v>-0.95224990757285344</v>
      </c>
      <c r="K92">
        <f t="shared" ca="1" si="68"/>
        <v>-0.95913895741826827</v>
      </c>
      <c r="L92">
        <f t="shared" ca="1" si="69"/>
        <v>-0.95617868617267598</v>
      </c>
      <c r="M92">
        <f t="shared" ca="1" si="70"/>
        <v>-0.96180616449110934</v>
      </c>
      <c r="O92">
        <f t="shared" si="80"/>
        <v>23.5</v>
      </c>
      <c r="P92" s="5">
        <f t="shared" ca="1" si="71"/>
        <v>90</v>
      </c>
      <c r="Q92" s="5">
        <f t="shared" ca="1" si="72"/>
        <v>90</v>
      </c>
      <c r="R92" s="5">
        <f t="shared" ca="1" si="73"/>
        <v>90</v>
      </c>
      <c r="S92" s="5">
        <f t="shared" ca="1" si="74"/>
        <v>90</v>
      </c>
      <c r="U92">
        <f t="shared" si="81"/>
        <v>23.5</v>
      </c>
      <c r="V92" s="107">
        <f t="shared" ca="1" si="75"/>
        <v>6.1257422745431001E-17</v>
      </c>
      <c r="W92" s="107">
        <f t="shared" ca="1" si="76"/>
        <v>6.1257422745431001E-17</v>
      </c>
      <c r="X92" s="107">
        <f t="shared" ca="1" si="77"/>
        <v>6.1257422745431001E-17</v>
      </c>
      <c r="Y92" s="107">
        <f t="shared" ca="1" si="78"/>
        <v>6.1257422745431001E-17</v>
      </c>
      <c r="AO92">
        <f t="shared" ref="AO92" si="105">AO91+1</f>
        <v>22.5</v>
      </c>
      <c r="AP92" s="5">
        <v>325.49</v>
      </c>
      <c r="AQ92" s="5">
        <v>130.22</v>
      </c>
      <c r="AR92" s="5">
        <v>325.98</v>
      </c>
      <c r="AS92" s="5">
        <v>125.66</v>
      </c>
      <c r="AT92" s="5">
        <v>328.57</v>
      </c>
      <c r="AU92" s="5">
        <v>121.81</v>
      </c>
      <c r="AV92" s="5">
        <v>327.88</v>
      </c>
      <c r="AW92" s="5">
        <v>116.97</v>
      </c>
      <c r="AX92" s="5">
        <v>332.66</v>
      </c>
      <c r="AY92" s="5">
        <v>116.02</v>
      </c>
      <c r="AZ92" s="5">
        <v>341.61</v>
      </c>
      <c r="BA92" s="5">
        <v>117.69</v>
      </c>
      <c r="BB92">
        <f t="shared" si="83"/>
        <v>22.5</v>
      </c>
      <c r="BC92" s="5">
        <v>323.22000000000003</v>
      </c>
      <c r="BD92" s="5">
        <v>128.76</v>
      </c>
      <c r="BE92" s="5">
        <v>332.92</v>
      </c>
      <c r="BF92" s="5">
        <v>128.81</v>
      </c>
      <c r="BG92" s="5">
        <v>328.79</v>
      </c>
      <c r="BH92" s="5">
        <v>121.11</v>
      </c>
      <c r="BI92" s="5">
        <v>329.36</v>
      </c>
      <c r="BJ92" s="5">
        <v>116.81</v>
      </c>
      <c r="BK92" s="5">
        <v>333.7</v>
      </c>
      <c r="BL92" s="5">
        <v>114.33</v>
      </c>
      <c r="BM92" s="5">
        <v>328.88</v>
      </c>
      <c r="BN92" s="5">
        <v>109.72</v>
      </c>
      <c r="BO92">
        <f t="shared" si="84"/>
        <v>22.5</v>
      </c>
      <c r="BP92" s="5">
        <v>327.48</v>
      </c>
      <c r="BQ92" s="5">
        <v>124.44</v>
      </c>
      <c r="BR92">
        <v>333.83</v>
      </c>
      <c r="BS92">
        <v>123.44</v>
      </c>
      <c r="BT92" s="5">
        <v>332.05</v>
      </c>
      <c r="BU92" s="5">
        <v>119.5</v>
      </c>
      <c r="BV92" s="5">
        <v>332.8</v>
      </c>
      <c r="BW92" s="5">
        <v>116.08</v>
      </c>
      <c r="BX92" s="5">
        <v>331.22</v>
      </c>
      <c r="BY92" s="5">
        <v>111.1</v>
      </c>
      <c r="BZ92" s="7">
        <f t="shared" si="85"/>
        <v>22.5</v>
      </c>
      <c r="CA92" s="5">
        <v>337.14</v>
      </c>
      <c r="CB92" s="5">
        <v>127.43</v>
      </c>
      <c r="CC92" s="5">
        <v>335.36</v>
      </c>
      <c r="CD92" s="5">
        <v>122.88</v>
      </c>
      <c r="CE92" s="5">
        <v>341.26</v>
      </c>
      <c r="CF92" s="5">
        <v>122</v>
      </c>
      <c r="CG92" s="5">
        <v>333.26</v>
      </c>
      <c r="CH92" s="5">
        <v>115.85</v>
      </c>
      <c r="CI92" s="5">
        <v>335.13</v>
      </c>
      <c r="CJ92" s="5">
        <v>112.23</v>
      </c>
      <c r="CM92" s="13" t="s">
        <v>123</v>
      </c>
      <c r="CN92" s="20">
        <v>37.690530000000003</v>
      </c>
      <c r="CO92" s="20">
        <v>-97.365080000000006</v>
      </c>
      <c r="CP92" s="19">
        <v>0.21300000000000002</v>
      </c>
      <c r="CQ92" s="19">
        <v>0.34100000000000003</v>
      </c>
      <c r="CR92" s="19">
        <v>0.30499999999999999</v>
      </c>
      <c r="CS92" s="19">
        <v>0.21699999999999997</v>
      </c>
      <c r="CT92" s="98">
        <v>282.03888888888889</v>
      </c>
      <c r="CU92" s="98">
        <v>297.59444444444449</v>
      </c>
      <c r="CV92" s="98">
        <v>305.92777777777781</v>
      </c>
      <c r="CW92" s="98">
        <v>286.48333333333335</v>
      </c>
      <c r="CX92" s="104">
        <v>1</v>
      </c>
      <c r="CY92" s="104">
        <v>2</v>
      </c>
      <c r="CZ92" s="104">
        <v>3</v>
      </c>
      <c r="DA92" s="104">
        <v>4</v>
      </c>
      <c r="DB92" s="104">
        <v>1</v>
      </c>
      <c r="DG92">
        <f t="shared" si="32"/>
        <v>53</v>
      </c>
      <c r="DH92" s="5">
        <f t="shared" ca="1" si="33"/>
        <v>715.76</v>
      </c>
      <c r="DI92" s="5">
        <f t="shared" ca="1" si="34"/>
        <v>614.53</v>
      </c>
      <c r="DJ92" s="5">
        <f t="shared" ca="1" si="35"/>
        <v>607.96929374326328</v>
      </c>
      <c r="DK92" s="5">
        <f t="shared" ca="1" si="36"/>
        <v>707.12234072633089</v>
      </c>
      <c r="DL92" s="5">
        <f t="shared" ca="1" si="4"/>
        <v>31.400000000000002</v>
      </c>
      <c r="DM92" s="5">
        <f t="shared" ca="1" si="5"/>
        <v>31.18</v>
      </c>
      <c r="DN92" s="5">
        <f t="shared" ca="1" si="6"/>
        <v>30.850333333333332</v>
      </c>
      <c r="DO92" s="5">
        <f t="shared" ca="1" si="7"/>
        <v>31.020999999999994</v>
      </c>
      <c r="DP92" s="5">
        <f t="shared" ca="1" si="8"/>
        <v>11.226999999999999</v>
      </c>
      <c r="DQ92" s="5">
        <f t="shared" ca="1" si="9"/>
        <v>10.419</v>
      </c>
      <c r="DR92" s="5">
        <f t="shared" ca="1" si="10"/>
        <v>10.307</v>
      </c>
      <c r="DS92" s="5">
        <f t="shared" ca="1" si="11"/>
        <v>11.094999999999999</v>
      </c>
      <c r="DU92">
        <f t="shared" si="37"/>
        <v>53</v>
      </c>
      <c r="DV92" s="5">
        <v>858.5</v>
      </c>
      <c r="DW92" s="5">
        <v>820.18358432819184</v>
      </c>
      <c r="DX92" s="5">
        <v>811.43101526237911</v>
      </c>
      <c r="DY92" s="5">
        <v>848.13786306423174</v>
      </c>
      <c r="DZ92" s="5">
        <v>715.76</v>
      </c>
      <c r="EA92" s="5">
        <v>614.53</v>
      </c>
      <c r="EB92" s="5">
        <v>607.96929374326328</v>
      </c>
      <c r="EC92" s="5">
        <v>707.12234072633089</v>
      </c>
      <c r="EE92">
        <f t="shared" si="38"/>
        <v>53</v>
      </c>
      <c r="EF92" s="5">
        <v>19.378000000000004</v>
      </c>
      <c r="EG92" s="5">
        <v>18.513333333333339</v>
      </c>
      <c r="EH92" s="5">
        <v>18.316333333333333</v>
      </c>
      <c r="EI92" s="5">
        <v>19.14266666666667</v>
      </c>
      <c r="EJ92" s="5">
        <v>31.400000000000002</v>
      </c>
      <c r="EK92" s="5">
        <v>31.18</v>
      </c>
      <c r="EL92" s="5">
        <v>30.850333333333332</v>
      </c>
      <c r="EM92" s="5">
        <v>31.020999999999994</v>
      </c>
      <c r="EO92">
        <f t="shared" si="39"/>
        <v>53</v>
      </c>
      <c r="EP92" s="5">
        <v>11.289000000000001</v>
      </c>
      <c r="EQ92" s="5">
        <v>10.798000000000002</v>
      </c>
      <c r="ER92" s="5">
        <v>10.682999999999998</v>
      </c>
      <c r="ES92" s="5">
        <v>11.156999999999998</v>
      </c>
      <c r="ET92" s="5">
        <v>11.226999999999999</v>
      </c>
      <c r="EU92" s="5">
        <v>10.419</v>
      </c>
      <c r="EV92" s="5">
        <v>10.307</v>
      </c>
      <c r="EW92" s="5">
        <v>11.094999999999999</v>
      </c>
    </row>
    <row r="93" spans="9:153">
      <c r="AO93">
        <f t="shared" ref="AO93" si="106">AO92+1</f>
        <v>23.5</v>
      </c>
      <c r="AP93" s="5">
        <v>343.53</v>
      </c>
      <c r="AQ93" s="5">
        <v>136.13</v>
      </c>
      <c r="AR93" s="5">
        <v>342.92</v>
      </c>
      <c r="AS93" s="5">
        <v>131.25</v>
      </c>
      <c r="AT93" s="5">
        <v>344.99</v>
      </c>
      <c r="AU93" s="5">
        <v>126.82</v>
      </c>
      <c r="AV93" s="5">
        <v>343.46</v>
      </c>
      <c r="AW93" s="5">
        <v>121.72</v>
      </c>
      <c r="AX93" s="5">
        <v>348.39</v>
      </c>
      <c r="AY93" s="5">
        <v>119.65</v>
      </c>
      <c r="AZ93" s="5">
        <v>357.86</v>
      </c>
      <c r="BA93" s="5">
        <v>119.65</v>
      </c>
      <c r="BB93">
        <f t="shared" si="83"/>
        <v>23.5</v>
      </c>
      <c r="BC93" s="5">
        <v>340.59</v>
      </c>
      <c r="BD93" s="5">
        <v>135.16999999999999</v>
      </c>
      <c r="BE93" s="5">
        <v>351.2</v>
      </c>
      <c r="BF93" s="5">
        <v>132.85</v>
      </c>
      <c r="BG93" s="5">
        <v>345.07</v>
      </c>
      <c r="BH93" s="5">
        <v>125.88</v>
      </c>
      <c r="BI93" s="5">
        <v>345.02</v>
      </c>
      <c r="BJ93" s="5">
        <v>121.32</v>
      </c>
      <c r="BK93" s="5">
        <v>349.25</v>
      </c>
      <c r="BL93" s="5">
        <v>117.7</v>
      </c>
      <c r="BM93" s="5">
        <v>343.74</v>
      </c>
      <c r="BN93" s="5">
        <v>113.77</v>
      </c>
      <c r="BO93">
        <f t="shared" si="84"/>
        <v>23.5</v>
      </c>
      <c r="BP93" s="5">
        <v>344.29</v>
      </c>
      <c r="BQ93" s="5">
        <v>129.65</v>
      </c>
      <c r="BR93">
        <v>350.87</v>
      </c>
      <c r="BS93">
        <v>127.15</v>
      </c>
      <c r="BT93" s="5">
        <v>348.26</v>
      </c>
      <c r="BU93" s="5">
        <v>123.44</v>
      </c>
      <c r="BV93" s="5">
        <v>348.54</v>
      </c>
      <c r="BW93" s="5">
        <v>119.71</v>
      </c>
      <c r="BX93" s="5">
        <v>346.32</v>
      </c>
      <c r="BY93" s="5">
        <v>114.78</v>
      </c>
      <c r="BZ93" s="7">
        <f t="shared" si="85"/>
        <v>23.5</v>
      </c>
      <c r="CA93" s="5">
        <v>355.22</v>
      </c>
      <c r="CB93" s="5">
        <v>130.41</v>
      </c>
      <c r="CC93" s="5">
        <v>352.34</v>
      </c>
      <c r="CD93" s="5">
        <v>126.21</v>
      </c>
      <c r="CE93" s="5">
        <v>358.24</v>
      </c>
      <c r="CF93" s="5">
        <v>124.05</v>
      </c>
      <c r="CG93" s="5">
        <v>348.99</v>
      </c>
      <c r="CH93" s="5">
        <v>119.38</v>
      </c>
      <c r="CI93" s="5">
        <v>350.49</v>
      </c>
      <c r="CJ93" s="5">
        <v>115.24</v>
      </c>
      <c r="CM93" s="13" t="s">
        <v>124</v>
      </c>
      <c r="CN93" s="20">
        <v>39.078609999999998</v>
      </c>
      <c r="CO93" s="20">
        <v>-84.54213</v>
      </c>
      <c r="CP93" s="19">
        <v>0.42000000000000004</v>
      </c>
      <c r="CQ93" s="19">
        <v>0.39100000000000001</v>
      </c>
      <c r="CR93" s="19">
        <v>0.313</v>
      </c>
      <c r="CS93" s="19">
        <v>0.377</v>
      </c>
      <c r="CT93" s="98">
        <v>279.81666666666666</v>
      </c>
      <c r="CU93" s="98">
        <v>297.03888888888895</v>
      </c>
      <c r="CV93" s="98">
        <v>302.59444444444449</v>
      </c>
      <c r="CW93" s="98">
        <v>285.92777777777781</v>
      </c>
      <c r="CX93" s="104">
        <v>5</v>
      </c>
      <c r="CY93" s="104">
        <v>6</v>
      </c>
      <c r="CZ93" s="104">
        <v>7</v>
      </c>
      <c r="DA93" s="104">
        <v>8</v>
      </c>
      <c r="DB93" s="104">
        <v>2</v>
      </c>
      <c r="DG93">
        <f t="shared" si="32"/>
        <v>54</v>
      </c>
      <c r="DH93" s="5">
        <f t="shared" ca="1" si="33"/>
        <v>707.25</v>
      </c>
      <c r="DI93" s="5">
        <f t="shared" ca="1" si="34"/>
        <v>606.37</v>
      </c>
      <c r="DJ93" s="5">
        <f t="shared" ca="1" si="35"/>
        <v>599.89640969049935</v>
      </c>
      <c r="DK93" s="5">
        <f t="shared" ca="1" si="36"/>
        <v>698.71503783209118</v>
      </c>
      <c r="DL93" s="5">
        <f t="shared" ca="1" si="4"/>
        <v>30.560000000000002</v>
      </c>
      <c r="DM93" s="5">
        <f t="shared" ca="1" si="5"/>
        <v>30.336666666666666</v>
      </c>
      <c r="DN93" s="5">
        <f t="shared" ca="1" si="6"/>
        <v>30.015999999999998</v>
      </c>
      <c r="DO93" s="5">
        <f t="shared" ca="1" si="7"/>
        <v>30.191333333333326</v>
      </c>
      <c r="DP93" s="5">
        <f t="shared" ca="1" si="8"/>
        <v>10.695999999999998</v>
      </c>
      <c r="DQ93" s="5">
        <f t="shared" ca="1" si="9"/>
        <v>9.9320000000000004</v>
      </c>
      <c r="DR93" s="5">
        <f t="shared" ca="1" si="10"/>
        <v>9.8260000000000005</v>
      </c>
      <c r="DS93" s="5">
        <f t="shared" ca="1" si="11"/>
        <v>10.569999999999999</v>
      </c>
      <c r="DU93">
        <f t="shared" si="37"/>
        <v>54</v>
      </c>
      <c r="DV93" s="5">
        <v>851.85</v>
      </c>
      <c r="DW93" s="5">
        <v>813.83038591726302</v>
      </c>
      <c r="DX93" s="5">
        <v>805.14561485295019</v>
      </c>
      <c r="DY93" s="5">
        <v>841.56812888906916</v>
      </c>
      <c r="DZ93" s="5">
        <v>707.25</v>
      </c>
      <c r="EA93" s="5">
        <v>606.37</v>
      </c>
      <c r="EB93" s="5">
        <v>599.89640969049935</v>
      </c>
      <c r="EC93" s="5">
        <v>698.71503783209118</v>
      </c>
      <c r="EE93">
        <f t="shared" si="38"/>
        <v>54</v>
      </c>
      <c r="EF93" s="5">
        <v>18.934000000000005</v>
      </c>
      <c r="EG93" s="5">
        <v>18.090000000000007</v>
      </c>
      <c r="EH93" s="5">
        <v>17.897333333333332</v>
      </c>
      <c r="EI93" s="5">
        <v>18.704666666666672</v>
      </c>
      <c r="EJ93" s="5">
        <v>30.560000000000002</v>
      </c>
      <c r="EK93" s="5">
        <v>30.336666666666666</v>
      </c>
      <c r="EL93" s="5">
        <v>30.015999999999998</v>
      </c>
      <c r="EM93" s="5">
        <v>30.191333333333326</v>
      </c>
      <c r="EO93">
        <f t="shared" si="39"/>
        <v>54</v>
      </c>
      <c r="EP93" s="5">
        <v>10.762000000000002</v>
      </c>
      <c r="EQ93" s="5">
        <v>10.294000000000002</v>
      </c>
      <c r="ER93" s="5">
        <v>10.183999999999997</v>
      </c>
      <c r="ES93" s="5">
        <v>10.635999999999997</v>
      </c>
      <c r="ET93" s="5">
        <v>10.695999999999998</v>
      </c>
      <c r="EU93" s="5">
        <v>9.9320000000000004</v>
      </c>
      <c r="EV93" s="5">
        <v>9.8260000000000005</v>
      </c>
      <c r="EW93" s="5">
        <v>10.569999999999999</v>
      </c>
    </row>
    <row r="94" spans="9:153">
      <c r="CM94" s="13" t="s">
        <v>125</v>
      </c>
      <c r="CN94" s="20">
        <v>38.060850000000002</v>
      </c>
      <c r="CO94" s="20">
        <v>-84.508690000000001</v>
      </c>
      <c r="CP94" s="19">
        <v>0.40900000000000003</v>
      </c>
      <c r="CQ94" s="19">
        <v>0.36199999999999999</v>
      </c>
      <c r="CR94" s="19">
        <v>0.30499999999999999</v>
      </c>
      <c r="CS94" s="19">
        <v>0.36</v>
      </c>
      <c r="CT94" s="98">
        <v>280.92777777777781</v>
      </c>
      <c r="CU94" s="98">
        <v>296.48333333333335</v>
      </c>
      <c r="CV94" s="98">
        <v>303.15000000000003</v>
      </c>
      <c r="CW94" s="98">
        <v>285.92777777777781</v>
      </c>
      <c r="CX94" s="104">
        <v>5</v>
      </c>
      <c r="CY94" s="104">
        <v>6</v>
      </c>
      <c r="CZ94" s="104">
        <v>7</v>
      </c>
      <c r="DA94" s="104">
        <v>8</v>
      </c>
      <c r="DB94" s="104">
        <v>2</v>
      </c>
      <c r="DG94">
        <f t="shared" si="32"/>
        <v>55</v>
      </c>
      <c r="DH94" s="5">
        <f t="shared" ca="1" si="33"/>
        <v>698.42</v>
      </c>
      <c r="DI94" s="5">
        <f t="shared" ca="1" si="34"/>
        <v>597.88</v>
      </c>
      <c r="DJ94" s="5">
        <f t="shared" ca="1" si="35"/>
        <v>591.49704870913092</v>
      </c>
      <c r="DK94" s="5">
        <f t="shared" ca="1" si="36"/>
        <v>689.99159663865544</v>
      </c>
      <c r="DL94" s="5">
        <f t="shared" ca="1" si="4"/>
        <v>29.720000000000002</v>
      </c>
      <c r="DM94" s="5">
        <f t="shared" ca="1" si="5"/>
        <v>29.493333333333332</v>
      </c>
      <c r="DN94" s="5">
        <f t="shared" ca="1" si="6"/>
        <v>29.181666666666665</v>
      </c>
      <c r="DO94" s="5">
        <f t="shared" ca="1" si="7"/>
        <v>29.361666666666657</v>
      </c>
      <c r="DP94" s="5">
        <f t="shared" ca="1" si="8"/>
        <v>10.164999999999997</v>
      </c>
      <c r="DQ94" s="5">
        <f t="shared" ca="1" si="9"/>
        <v>9.4450000000000003</v>
      </c>
      <c r="DR94" s="5">
        <f t="shared" ca="1" si="10"/>
        <v>9.3450000000000006</v>
      </c>
      <c r="DS94" s="5">
        <f t="shared" ca="1" si="11"/>
        <v>10.044999999999998</v>
      </c>
      <c r="DU94">
        <f t="shared" si="37"/>
        <v>55</v>
      </c>
      <c r="DV94" s="5">
        <v>844.87</v>
      </c>
      <c r="DW94" s="5">
        <v>807.16191600624279</v>
      </c>
      <c r="DX94" s="5">
        <v>798.54830735553435</v>
      </c>
      <c r="DY94" s="5">
        <v>834.67237783002611</v>
      </c>
      <c r="DZ94" s="5">
        <v>698.42</v>
      </c>
      <c r="EA94" s="5">
        <v>597.88</v>
      </c>
      <c r="EB94" s="5">
        <v>591.49704870913092</v>
      </c>
      <c r="EC94" s="5">
        <v>689.99159663865544</v>
      </c>
      <c r="EE94">
        <f t="shared" si="38"/>
        <v>55</v>
      </c>
      <c r="EF94" s="5">
        <v>18.490000000000006</v>
      </c>
      <c r="EG94" s="5">
        <v>17.666666666666675</v>
      </c>
      <c r="EH94" s="5">
        <v>17.478333333333332</v>
      </c>
      <c r="EI94" s="5">
        <v>18.266666666666673</v>
      </c>
      <c r="EJ94" s="5">
        <v>29.720000000000002</v>
      </c>
      <c r="EK94" s="5">
        <v>29.493333333333332</v>
      </c>
      <c r="EL94" s="5">
        <v>29.181666666666665</v>
      </c>
      <c r="EM94" s="5">
        <v>29.361666666666657</v>
      </c>
      <c r="EO94">
        <f t="shared" si="39"/>
        <v>55</v>
      </c>
      <c r="EP94" s="5">
        <v>10.235000000000003</v>
      </c>
      <c r="EQ94" s="5">
        <v>9.7900000000000027</v>
      </c>
      <c r="ER94" s="5">
        <v>9.6849999999999969</v>
      </c>
      <c r="ES94" s="5">
        <v>10.114999999999997</v>
      </c>
      <c r="ET94" s="5">
        <v>10.164999999999997</v>
      </c>
      <c r="EU94" s="5">
        <v>9.4450000000000003</v>
      </c>
      <c r="EV94" s="5">
        <v>9.3450000000000006</v>
      </c>
      <c r="EW94" s="5">
        <v>10.044999999999998</v>
      </c>
    </row>
    <row r="95" spans="9:153">
      <c r="CM95" s="13" t="s">
        <v>126</v>
      </c>
      <c r="CN95" s="20">
        <v>38.245049999999999</v>
      </c>
      <c r="CO95" s="20">
        <v>-85.715609999999998</v>
      </c>
      <c r="CP95" s="19">
        <v>0.39400000000000002</v>
      </c>
      <c r="CQ95" s="19">
        <v>0.373</v>
      </c>
      <c r="CR95" s="19">
        <v>0.3</v>
      </c>
      <c r="CS95" s="19">
        <v>0.35</v>
      </c>
      <c r="CT95" s="98">
        <v>282.03888888888889</v>
      </c>
      <c r="CU95" s="98">
        <v>298.15000000000003</v>
      </c>
      <c r="CV95" s="98">
        <v>304.26111111111112</v>
      </c>
      <c r="CW95" s="98">
        <v>287.59444444444449</v>
      </c>
      <c r="CX95" s="104">
        <v>5</v>
      </c>
      <c r="CY95" s="104">
        <v>6</v>
      </c>
      <c r="CZ95" s="104">
        <v>7</v>
      </c>
      <c r="DA95" s="104">
        <v>8</v>
      </c>
      <c r="DB95" s="104">
        <v>2</v>
      </c>
      <c r="DG95">
        <f t="shared" si="32"/>
        <v>56</v>
      </c>
      <c r="DH95" s="5">
        <f t="shared" ca="1" si="33"/>
        <v>689.16</v>
      </c>
      <c r="DI95" s="5">
        <f t="shared" ca="1" si="34"/>
        <v>589</v>
      </c>
      <c r="DJ95" s="5">
        <f t="shared" ca="1" si="35"/>
        <v>582.71185135759379</v>
      </c>
      <c r="DK95" s="5">
        <f t="shared" ca="1" si="36"/>
        <v>680.84334460567538</v>
      </c>
      <c r="DL95" s="5">
        <f t="shared" ca="1" si="4"/>
        <v>28.880000000000003</v>
      </c>
      <c r="DM95" s="5">
        <f t="shared" ca="1" si="5"/>
        <v>28.65</v>
      </c>
      <c r="DN95" s="5">
        <f t="shared" ca="1" si="6"/>
        <v>28.347333333333331</v>
      </c>
      <c r="DO95" s="5">
        <f t="shared" ca="1" si="7"/>
        <v>28.531999999999989</v>
      </c>
      <c r="DP95" s="5">
        <f t="shared" ca="1" si="8"/>
        <v>9.6339999999999968</v>
      </c>
      <c r="DQ95" s="5">
        <f t="shared" ca="1" si="9"/>
        <v>8.9580000000000002</v>
      </c>
      <c r="DR95" s="5">
        <f t="shared" ca="1" si="10"/>
        <v>8.8640000000000008</v>
      </c>
      <c r="DS95" s="5">
        <f t="shared" ca="1" si="11"/>
        <v>9.5199999999999978</v>
      </c>
      <c r="DU95">
        <f t="shared" si="37"/>
        <v>56</v>
      </c>
      <c r="DV95" s="5">
        <v>837.56</v>
      </c>
      <c r="DW95" s="5">
        <v>800.1781745951314</v>
      </c>
      <c r="DX95" s="5">
        <v>791.63909277013181</v>
      </c>
      <c r="DY95" s="5">
        <v>827.45060988710293</v>
      </c>
      <c r="DZ95" s="5">
        <v>689.16</v>
      </c>
      <c r="EA95" s="5">
        <v>589</v>
      </c>
      <c r="EB95" s="5">
        <v>582.71185135759379</v>
      </c>
      <c r="EC95" s="5">
        <v>680.84334460567538</v>
      </c>
      <c r="EE95">
        <f t="shared" si="38"/>
        <v>56</v>
      </c>
      <c r="EF95" s="5">
        <v>18.046000000000006</v>
      </c>
      <c r="EG95" s="5">
        <v>17.243333333333343</v>
      </c>
      <c r="EH95" s="5">
        <v>17.059333333333331</v>
      </c>
      <c r="EI95" s="5">
        <v>17.828666666666674</v>
      </c>
      <c r="EJ95" s="5">
        <v>28.880000000000003</v>
      </c>
      <c r="EK95" s="5">
        <v>28.65</v>
      </c>
      <c r="EL95" s="5">
        <v>28.347333333333331</v>
      </c>
      <c r="EM95" s="5">
        <v>28.531999999999989</v>
      </c>
      <c r="EO95">
        <f t="shared" si="39"/>
        <v>56</v>
      </c>
      <c r="EP95" s="5">
        <v>9.7080000000000037</v>
      </c>
      <c r="EQ95" s="5">
        <v>9.2860000000000031</v>
      </c>
      <c r="ER95" s="5">
        <v>9.1859999999999964</v>
      </c>
      <c r="ES95" s="5">
        <v>9.5939999999999959</v>
      </c>
      <c r="ET95" s="5">
        <v>9.6339999999999968</v>
      </c>
      <c r="EU95" s="5">
        <v>8.9580000000000002</v>
      </c>
      <c r="EV95" s="5">
        <v>8.8640000000000008</v>
      </c>
      <c r="EW95" s="5">
        <v>9.5199999999999978</v>
      </c>
    </row>
    <row r="96" spans="9:153">
      <c r="I96" s="170" t="s">
        <v>463</v>
      </c>
      <c r="J96" s="170"/>
      <c r="K96" s="170"/>
      <c r="L96" s="170"/>
      <c r="M96" s="170"/>
      <c r="O96" s="170" t="s">
        <v>486</v>
      </c>
      <c r="P96" s="170"/>
      <c r="Q96" s="170"/>
      <c r="R96" s="170"/>
      <c r="S96" s="170"/>
      <c r="U96" s="170" t="s">
        <v>480</v>
      </c>
      <c r="V96" s="170"/>
      <c r="W96" s="170"/>
      <c r="X96" s="170"/>
      <c r="Y96" s="170"/>
      <c r="CM96" s="17" t="s">
        <v>128</v>
      </c>
      <c r="CN96" s="20">
        <v>30.029129999999999</v>
      </c>
      <c r="CO96" s="20">
        <v>-90.066630000000004</v>
      </c>
      <c r="CP96" s="19">
        <v>0.33099999999999996</v>
      </c>
      <c r="CQ96" s="19">
        <v>0.32800000000000001</v>
      </c>
      <c r="CR96" s="19">
        <v>0.39900000000000002</v>
      </c>
      <c r="CS96" s="19">
        <v>0.307</v>
      </c>
      <c r="CT96" s="98">
        <v>303.15000000000003</v>
      </c>
      <c r="CU96" s="98">
        <v>304.26111111111112</v>
      </c>
      <c r="CV96" s="98">
        <v>291.48333333333335</v>
      </c>
      <c r="CW96" s="98">
        <v>294.26111111111112</v>
      </c>
      <c r="CX96" s="104">
        <v>5</v>
      </c>
      <c r="CY96" s="104">
        <v>6</v>
      </c>
      <c r="CZ96" s="104">
        <v>7</v>
      </c>
      <c r="DA96" s="104">
        <v>8</v>
      </c>
      <c r="DB96" s="104">
        <v>2</v>
      </c>
      <c r="DG96">
        <f t="shared" si="32"/>
        <v>57</v>
      </c>
      <c r="DH96" s="5">
        <f t="shared" ca="1" si="33"/>
        <v>679.55</v>
      </c>
      <c r="DI96" s="5">
        <f t="shared" ca="1" si="34"/>
        <v>579.78</v>
      </c>
      <c r="DJ96" s="5">
        <f t="shared" ca="1" si="35"/>
        <v>573.59028383719135</v>
      </c>
      <c r="DK96" s="5">
        <f t="shared" ca="1" si="36"/>
        <v>671.34931630794972</v>
      </c>
      <c r="DL96" s="5">
        <f t="shared" ca="1" si="4"/>
        <v>28.040000000000003</v>
      </c>
      <c r="DM96" s="5">
        <f t="shared" ca="1" si="5"/>
        <v>27.806666666666665</v>
      </c>
      <c r="DN96" s="5">
        <f t="shared" ca="1" si="6"/>
        <v>27.512999999999998</v>
      </c>
      <c r="DO96" s="5">
        <f t="shared" ca="1" si="7"/>
        <v>27.702333333333321</v>
      </c>
      <c r="DP96" s="5">
        <f t="shared" ca="1" si="8"/>
        <v>9.1029999999999962</v>
      </c>
      <c r="DQ96" s="5">
        <f t="shared" ca="1" si="9"/>
        <v>8.4710000000000001</v>
      </c>
      <c r="DR96" s="5">
        <f t="shared" ca="1" si="10"/>
        <v>8.3830000000000009</v>
      </c>
      <c r="DS96" s="5">
        <f t="shared" ca="1" si="11"/>
        <v>8.9949999999999974</v>
      </c>
      <c r="DU96">
        <f t="shared" si="37"/>
        <v>57</v>
      </c>
      <c r="DV96" s="5">
        <v>829.92</v>
      </c>
      <c r="DW96" s="5">
        <v>792.87916168392894</v>
      </c>
      <c r="DX96" s="5">
        <v>784.4179710967428</v>
      </c>
      <c r="DY96" s="5">
        <v>819.90282506029962</v>
      </c>
      <c r="DZ96" s="5">
        <v>679.55</v>
      </c>
      <c r="EA96" s="5">
        <v>579.78</v>
      </c>
      <c r="EB96" s="5">
        <v>573.59028383719135</v>
      </c>
      <c r="EC96" s="5">
        <v>671.34931630794972</v>
      </c>
      <c r="EE96">
        <f t="shared" si="38"/>
        <v>57</v>
      </c>
      <c r="EF96" s="5">
        <v>17.602000000000007</v>
      </c>
      <c r="EG96" s="5">
        <v>16.820000000000011</v>
      </c>
      <c r="EH96" s="5">
        <v>16.640333333333331</v>
      </c>
      <c r="EI96" s="5">
        <v>17.390666666666675</v>
      </c>
      <c r="EJ96" s="5">
        <v>28.040000000000003</v>
      </c>
      <c r="EK96" s="5">
        <v>27.806666666666665</v>
      </c>
      <c r="EL96" s="5">
        <v>27.512999999999998</v>
      </c>
      <c r="EM96" s="5">
        <v>27.702333333333321</v>
      </c>
      <c r="EO96">
        <f t="shared" si="39"/>
        <v>57</v>
      </c>
      <c r="EP96" s="5">
        <v>9.1810000000000045</v>
      </c>
      <c r="EQ96" s="5">
        <v>8.7820000000000036</v>
      </c>
      <c r="ER96" s="5">
        <v>8.6869999999999958</v>
      </c>
      <c r="ES96" s="5">
        <v>9.0729999999999951</v>
      </c>
      <c r="ET96" s="5">
        <v>9.1029999999999962</v>
      </c>
      <c r="EU96" s="5">
        <v>8.4710000000000001</v>
      </c>
      <c r="EV96" s="5">
        <v>8.3830000000000009</v>
      </c>
      <c r="EW96" s="5">
        <v>8.9949999999999974</v>
      </c>
    </row>
    <row r="97" spans="8:153">
      <c r="H97" s="99" t="s">
        <v>288</v>
      </c>
      <c r="I97" s="99" t="s">
        <v>289</v>
      </c>
      <c r="J97" s="99" t="s">
        <v>0</v>
      </c>
      <c r="K97" s="99" t="s">
        <v>3</v>
      </c>
      <c r="L97" s="99" t="s">
        <v>4</v>
      </c>
      <c r="M97" s="99" t="s">
        <v>5</v>
      </c>
      <c r="O97" s="99" t="s">
        <v>289</v>
      </c>
      <c r="P97" s="99" t="s">
        <v>0</v>
      </c>
      <c r="Q97" s="99" t="s">
        <v>3</v>
      </c>
      <c r="R97" s="99" t="s">
        <v>4</v>
      </c>
      <c r="S97" s="99" t="s">
        <v>5</v>
      </c>
      <c r="U97" s="99" t="s">
        <v>289</v>
      </c>
      <c r="V97" s="99" t="s">
        <v>0</v>
      </c>
      <c r="W97" s="99" t="s">
        <v>3</v>
      </c>
      <c r="X97" s="99" t="s">
        <v>4</v>
      </c>
      <c r="Y97" s="99" t="s">
        <v>5</v>
      </c>
      <c r="AN97" s="2"/>
      <c r="AO97" s="170" t="s">
        <v>4</v>
      </c>
      <c r="AP97" s="170"/>
      <c r="AQ97" s="170"/>
      <c r="AR97" s="170"/>
      <c r="AS97" s="170"/>
      <c r="AT97" s="170"/>
      <c r="AU97" s="170"/>
      <c r="AV97" s="170"/>
      <c r="AW97" s="170"/>
      <c r="AX97" s="170"/>
      <c r="AY97" s="170"/>
      <c r="AZ97" s="170"/>
      <c r="BA97" s="170"/>
      <c r="BB97" s="170" t="s">
        <v>4</v>
      </c>
      <c r="BC97" s="170"/>
      <c r="BD97" s="170"/>
      <c r="BE97" s="170"/>
      <c r="BF97" s="170"/>
      <c r="BG97" s="170"/>
      <c r="BH97" s="170"/>
      <c r="BI97" s="170"/>
      <c r="BJ97" s="170"/>
      <c r="BK97" s="170"/>
      <c r="BL97" s="170"/>
      <c r="BM97" s="170"/>
      <c r="BN97" s="170"/>
      <c r="BO97" s="170" t="s">
        <v>4</v>
      </c>
      <c r="BP97" s="170"/>
      <c r="BQ97" s="170"/>
      <c r="BR97" s="170"/>
      <c r="BS97" s="170"/>
      <c r="BT97" s="170"/>
      <c r="BU97" s="170"/>
      <c r="BV97" s="170"/>
      <c r="BW97" s="170"/>
      <c r="BX97" s="170"/>
      <c r="BY97" s="170"/>
      <c r="BZ97" s="170" t="s">
        <v>4</v>
      </c>
      <c r="CA97" s="170"/>
      <c r="CB97" s="170"/>
      <c r="CC97" s="170"/>
      <c r="CD97" s="170"/>
      <c r="CE97" s="170"/>
      <c r="CF97" s="170"/>
      <c r="CG97" s="170"/>
      <c r="CH97" s="170"/>
      <c r="CI97" s="170"/>
      <c r="CJ97" s="170"/>
      <c r="CM97" s="13" t="s">
        <v>127</v>
      </c>
      <c r="CN97" s="20">
        <v>32.476529999999997</v>
      </c>
      <c r="CO97" s="20">
        <v>-93.82902</v>
      </c>
      <c r="CP97" s="19">
        <v>0.32199999999999995</v>
      </c>
      <c r="CQ97" s="19">
        <v>0.30600000000000005</v>
      </c>
      <c r="CR97" s="19">
        <v>0.251</v>
      </c>
      <c r="CS97" s="19">
        <v>0.248</v>
      </c>
      <c r="CT97" s="98">
        <v>289.81666666666672</v>
      </c>
      <c r="CU97" s="98">
        <v>302.03888888888895</v>
      </c>
      <c r="CV97" s="98">
        <v>307.59444444444449</v>
      </c>
      <c r="CW97" s="98">
        <v>292.59444444444449</v>
      </c>
      <c r="CX97" s="104">
        <v>5</v>
      </c>
      <c r="CY97" s="104">
        <v>6</v>
      </c>
      <c r="CZ97" s="104">
        <v>7</v>
      </c>
      <c r="DA97" s="104">
        <v>8</v>
      </c>
      <c r="DB97" s="104">
        <v>2</v>
      </c>
      <c r="DG97">
        <f t="shared" si="32"/>
        <v>58</v>
      </c>
      <c r="DH97" s="5">
        <f t="shared" ca="1" si="33"/>
        <v>669.48</v>
      </c>
      <c r="DI97" s="5">
        <f t="shared" ca="1" si="34"/>
        <v>570.15</v>
      </c>
      <c r="DJ97" s="5">
        <f t="shared" ca="1" si="35"/>
        <v>564.06309346609862</v>
      </c>
      <c r="DK97" s="5">
        <f t="shared" ca="1" si="36"/>
        <v>661.4008392051303</v>
      </c>
      <c r="DL97" s="5">
        <f t="shared" ca="1" si="4"/>
        <v>27.200000000000003</v>
      </c>
      <c r="DM97" s="5">
        <f t="shared" ca="1" si="5"/>
        <v>26.963333333333331</v>
      </c>
      <c r="DN97" s="5">
        <f t="shared" ca="1" si="6"/>
        <v>26.678666666666665</v>
      </c>
      <c r="DO97" s="5">
        <f t="shared" ca="1" si="7"/>
        <v>26.872666666666653</v>
      </c>
      <c r="DP97" s="5">
        <f t="shared" ca="1" si="8"/>
        <v>8.5719999999999956</v>
      </c>
      <c r="DQ97" s="5">
        <f t="shared" ca="1" si="9"/>
        <v>7.984</v>
      </c>
      <c r="DR97" s="5">
        <f t="shared" ca="1" si="10"/>
        <v>7.902000000000001</v>
      </c>
      <c r="DS97" s="5">
        <f t="shared" ca="1" si="11"/>
        <v>8.4699999999999971</v>
      </c>
      <c r="DU97">
        <f t="shared" si="37"/>
        <v>58</v>
      </c>
      <c r="DV97" s="5">
        <v>821.92</v>
      </c>
      <c r="DW97" s="5">
        <v>785.23621622717235</v>
      </c>
      <c r="DX97" s="5">
        <v>776.85658714554995</v>
      </c>
      <c r="DY97" s="5">
        <v>811.99938545108137</v>
      </c>
      <c r="DZ97" s="5">
        <v>669.48</v>
      </c>
      <c r="EA97" s="5">
        <v>570.15</v>
      </c>
      <c r="EB97" s="5">
        <v>564.06309346609862</v>
      </c>
      <c r="EC97" s="5">
        <v>661.4008392051303</v>
      </c>
      <c r="EE97">
        <f t="shared" si="38"/>
        <v>58</v>
      </c>
      <c r="EF97" s="5">
        <v>17.158000000000008</v>
      </c>
      <c r="EG97" s="5">
        <v>16.396666666666679</v>
      </c>
      <c r="EH97" s="5">
        <v>16.22133333333333</v>
      </c>
      <c r="EI97" s="5">
        <v>16.952666666666676</v>
      </c>
      <c r="EJ97" s="5">
        <v>27.200000000000003</v>
      </c>
      <c r="EK97" s="5">
        <v>26.963333333333331</v>
      </c>
      <c r="EL97" s="5">
        <v>26.678666666666665</v>
      </c>
      <c r="EM97" s="5">
        <v>26.872666666666653</v>
      </c>
      <c r="EO97">
        <f t="shared" si="39"/>
        <v>58</v>
      </c>
      <c r="EP97" s="5">
        <v>8.6540000000000052</v>
      </c>
      <c r="EQ97" s="5">
        <v>8.278000000000004</v>
      </c>
      <c r="ER97" s="5">
        <v>8.1879999999999953</v>
      </c>
      <c r="ES97" s="5">
        <v>8.5519999999999943</v>
      </c>
      <c r="ET97" s="5">
        <v>8.5719999999999956</v>
      </c>
      <c r="EU97" s="5">
        <v>7.984</v>
      </c>
      <c r="EV97" s="5">
        <v>7.902000000000001</v>
      </c>
      <c r="EW97" s="5">
        <v>8.4699999999999971</v>
      </c>
    </row>
    <row r="98" spans="8:153">
      <c r="H98" t="s">
        <v>264</v>
      </c>
      <c r="I98" s="100">
        <v>0.5</v>
      </c>
      <c r="J98" s="5">
        <f ca="1">IF(AND(K40&gt;=0,K40&lt;=90),VLOOKUP(INT(K40),$DG$39:$DK$129,2,FALSE),0)</f>
        <v>0</v>
      </c>
      <c r="K98" s="5">
        <f ca="1">IF(AND(M40&gt;=0,M40&lt;=90),VLOOKUP(INT(M40),$DG$39:$DK$129,3,FALSE),0)</f>
        <v>0</v>
      </c>
      <c r="L98" s="5">
        <f ca="1">IF(AND(O40&gt;=0,O40&lt;=90),VLOOKUP(INT(O40),$DG$39:$DK$129,4,FALSE),0)</f>
        <v>0</v>
      </c>
      <c r="M98" s="5">
        <f ca="1">IF(AND(Q40&gt;=0,Q40&lt;=90),VLOOKUP(INT(Q40),$DG$39:$DK$129,5,FALSE),0)</f>
        <v>0</v>
      </c>
      <c r="O98" s="100">
        <v>0.5</v>
      </c>
      <c r="P98" s="5">
        <f ca="1">$D$9*$D$45*(1-$D$37)*V69*J98*$D$18</f>
        <v>0</v>
      </c>
      <c r="Q98" s="5">
        <f ca="1">$D$9*$D$46*(1-$D$38)*W69*K98*$D$18</f>
        <v>0</v>
      </c>
      <c r="R98" s="5">
        <f ca="1">$D$9*$D$47*(1-$D$39)*X69*L98*$D$18</f>
        <v>0</v>
      </c>
      <c r="S98" s="5">
        <f ca="1">$D$9*$D$48*(1-$D$40)*Y69*M98*$D$18</f>
        <v>0</v>
      </c>
      <c r="U98" s="100">
        <v>0.5</v>
      </c>
      <c r="V98" s="5">
        <f ca="1">($D$49/PI())*COS(PI()*K40/180)*(1-$D$37)*J98</f>
        <v>0</v>
      </c>
      <c r="W98" s="5">
        <f ca="1">($D$50/PI())*COS(PI()*M40/180)*(1-$D$38)*K98</f>
        <v>0</v>
      </c>
      <c r="X98" s="5">
        <f ca="1">($D$51/PI())*COS(PI()*O40/180)*(1-$D$39)*L98</f>
        <v>0</v>
      </c>
      <c r="Y98" s="5">
        <f ca="1">($D$52/PI())*COS(PI()*Q40/180)*(1-$D$40)*M98</f>
        <v>0</v>
      </c>
      <c r="AP98" s="174" t="s">
        <v>7</v>
      </c>
      <c r="AQ98" s="174"/>
      <c r="AR98" s="174" t="s">
        <v>60</v>
      </c>
      <c r="AS98" s="174"/>
      <c r="AT98" s="174" t="s">
        <v>8</v>
      </c>
      <c r="AU98" s="174"/>
      <c r="AV98" s="174" t="s">
        <v>12</v>
      </c>
      <c r="AW98" s="174"/>
      <c r="AX98" s="174" t="s">
        <v>9</v>
      </c>
      <c r="AY98" s="174"/>
      <c r="AZ98" s="174" t="s">
        <v>10</v>
      </c>
      <c r="BA98" s="174"/>
      <c r="BC98" s="174" t="s">
        <v>25</v>
      </c>
      <c r="BD98" s="174"/>
      <c r="BE98" s="174" t="s">
        <v>26</v>
      </c>
      <c r="BF98" s="174"/>
      <c r="BG98" s="174" t="s">
        <v>27</v>
      </c>
      <c r="BH98" s="174"/>
      <c r="BI98" s="174" t="s">
        <v>39</v>
      </c>
      <c r="BJ98" s="174"/>
      <c r="BK98" s="174" t="s">
        <v>40</v>
      </c>
      <c r="BL98" s="174"/>
      <c r="BM98" s="174" t="s">
        <v>28</v>
      </c>
      <c r="BN98" s="174"/>
      <c r="BP98" s="174" t="s">
        <v>41</v>
      </c>
      <c r="BQ98" s="174"/>
      <c r="BR98" s="174" t="s">
        <v>298</v>
      </c>
      <c r="BS98" s="174"/>
      <c r="BT98" s="174" t="s">
        <v>42</v>
      </c>
      <c r="BU98" s="174"/>
      <c r="BV98" s="174" t="s">
        <v>43</v>
      </c>
      <c r="BW98" s="174"/>
      <c r="BX98" s="174" t="s">
        <v>52</v>
      </c>
      <c r="BY98" s="174"/>
      <c r="CA98" s="174" t="s">
        <v>53</v>
      </c>
      <c r="CB98" s="174"/>
      <c r="CC98" s="174" t="s">
        <v>54</v>
      </c>
      <c r="CD98" s="174"/>
      <c r="CE98" s="174" t="s">
        <v>55</v>
      </c>
      <c r="CF98" s="174"/>
      <c r="CG98" s="174" t="s">
        <v>56</v>
      </c>
      <c r="CH98" s="174"/>
      <c r="CI98" s="174" t="s">
        <v>57</v>
      </c>
      <c r="CJ98" s="174"/>
      <c r="CM98" s="13" t="s">
        <v>129</v>
      </c>
      <c r="CN98" s="20">
        <v>42.301439999999999</v>
      </c>
      <c r="CO98" s="20">
        <v>-71.095259999999996</v>
      </c>
      <c r="CP98" s="19">
        <v>0.33099999999999996</v>
      </c>
      <c r="CQ98" s="19">
        <v>0.40599999999999997</v>
      </c>
      <c r="CR98" s="19">
        <v>0.39200000000000002</v>
      </c>
      <c r="CS98" s="19">
        <v>0.39299999999999996</v>
      </c>
      <c r="CT98" s="98">
        <v>277.03888888888889</v>
      </c>
      <c r="CU98" s="98">
        <v>292.03888888888895</v>
      </c>
      <c r="CV98" s="98">
        <v>299.81666666666672</v>
      </c>
      <c r="CW98" s="98">
        <v>283.70555555555558</v>
      </c>
      <c r="CX98" s="104">
        <v>5</v>
      </c>
      <c r="CY98" s="104">
        <v>6</v>
      </c>
      <c r="CZ98" s="104">
        <v>7</v>
      </c>
      <c r="DA98" s="104">
        <v>8</v>
      </c>
      <c r="DB98" s="104">
        <v>2</v>
      </c>
      <c r="DG98">
        <f t="shared" si="32"/>
        <v>59</v>
      </c>
      <c r="DH98" s="5">
        <f t="shared" ca="1" si="33"/>
        <v>658.98</v>
      </c>
      <c r="DI98" s="5">
        <f t="shared" ca="1" si="34"/>
        <v>560.11</v>
      </c>
      <c r="DJ98" s="5">
        <f t="shared" ca="1" si="35"/>
        <v>554.13028024431549</v>
      </c>
      <c r="DK98" s="5">
        <f t="shared" ca="1" si="36"/>
        <v>651.02755126276622</v>
      </c>
      <c r="DL98" s="5">
        <f t="shared" ca="1" si="4"/>
        <v>26.360000000000003</v>
      </c>
      <c r="DM98" s="5">
        <f t="shared" ca="1" si="5"/>
        <v>26.119999999999997</v>
      </c>
      <c r="DN98" s="5">
        <f t="shared" ca="1" si="6"/>
        <v>25.844333333333331</v>
      </c>
      <c r="DO98" s="5">
        <f t="shared" ca="1" si="7"/>
        <v>26.042999999999985</v>
      </c>
      <c r="DP98" s="5">
        <f t="shared" ca="1" si="8"/>
        <v>8.040999999999995</v>
      </c>
      <c r="DQ98" s="5">
        <f t="shared" ca="1" si="9"/>
        <v>7.4969999999999999</v>
      </c>
      <c r="DR98" s="5">
        <f t="shared" ca="1" si="10"/>
        <v>7.4210000000000012</v>
      </c>
      <c r="DS98" s="5">
        <f t="shared" ca="1" si="11"/>
        <v>7.9449999999999967</v>
      </c>
      <c r="DU98">
        <f t="shared" si="37"/>
        <v>59</v>
      </c>
      <c r="DV98" s="5">
        <v>813.51</v>
      </c>
      <c r="DW98" s="5">
        <v>777.20156981575701</v>
      </c>
      <c r="DX98" s="5">
        <v>768.9076822668585</v>
      </c>
      <c r="DY98" s="5">
        <v>803.69089456189067</v>
      </c>
      <c r="DZ98" s="5">
        <v>658.98</v>
      </c>
      <c r="EA98" s="5">
        <v>560.11</v>
      </c>
      <c r="EB98" s="5">
        <v>554.13028024431549</v>
      </c>
      <c r="EC98" s="5">
        <v>651.02755126276622</v>
      </c>
      <c r="EE98">
        <f t="shared" si="38"/>
        <v>59</v>
      </c>
      <c r="EF98" s="5">
        <v>16.714000000000009</v>
      </c>
      <c r="EG98" s="5">
        <v>15.973333333333345</v>
      </c>
      <c r="EH98" s="5">
        <v>15.80233333333333</v>
      </c>
      <c r="EI98" s="5">
        <v>16.514666666666677</v>
      </c>
      <c r="EJ98" s="5">
        <v>26.360000000000003</v>
      </c>
      <c r="EK98" s="5">
        <v>26.119999999999997</v>
      </c>
      <c r="EL98" s="5">
        <v>25.844333333333331</v>
      </c>
      <c r="EM98" s="5">
        <v>26.042999999999985</v>
      </c>
      <c r="EO98">
        <f t="shared" si="39"/>
        <v>59</v>
      </c>
      <c r="EP98" s="5">
        <v>8.127000000000006</v>
      </c>
      <c r="EQ98" s="5">
        <v>7.7740000000000036</v>
      </c>
      <c r="ER98" s="5">
        <v>7.6889999999999956</v>
      </c>
      <c r="ES98" s="5">
        <v>8.0309999999999935</v>
      </c>
      <c r="ET98" s="5">
        <v>8.040999999999995</v>
      </c>
      <c r="EU98" s="5">
        <v>7.4969999999999999</v>
      </c>
      <c r="EV98" s="5">
        <v>7.4210000000000012</v>
      </c>
      <c r="EW98" s="5">
        <v>7.9449999999999967</v>
      </c>
    </row>
    <row r="99" spans="8:153">
      <c r="H99" t="s">
        <v>265</v>
      </c>
      <c r="I99" s="100">
        <v>1.5</v>
      </c>
      <c r="J99" s="5">
        <f t="shared" ref="J99:J121" ca="1" si="107">IF(AND(K41&gt;=0,K41&lt;=90),VLOOKUP(INT(K41),$DG$39:$DK$129,2,FALSE),0)</f>
        <v>0</v>
      </c>
      <c r="K99" s="5">
        <f t="shared" ref="K99:K121" ca="1" si="108">IF(AND(M41&gt;=0,M41&lt;=90),VLOOKUP(INT(M41),$DG$39:$DK$129,3,FALSE),0)</f>
        <v>0</v>
      </c>
      <c r="L99" s="5">
        <f t="shared" ref="L99:L121" ca="1" si="109">IF(AND(O41&gt;=0,O41&lt;=90),VLOOKUP(INT(O41),$DG$39:$DK$129,4,FALSE),0)</f>
        <v>0</v>
      </c>
      <c r="M99" s="5">
        <f t="shared" ref="M99:M121" ca="1" si="110">IF(AND(Q41&gt;=0,Q41&lt;=90),VLOOKUP(INT(Q41),$DG$39:$DK$129,5,FALSE),0)</f>
        <v>0</v>
      </c>
      <c r="O99" s="100">
        <v>1.5</v>
      </c>
      <c r="P99" s="5">
        <f t="shared" ref="P99:P121" ca="1" si="111">$D$9*$D$45*(1-$D$37)*V70*J99*$D$18</f>
        <v>0</v>
      </c>
      <c r="Q99" s="5">
        <f t="shared" ref="Q99:Q121" ca="1" si="112">$D$9*$D$46*(1-$D$38)*W70*K99*$D$18</f>
        <v>0</v>
      </c>
      <c r="R99" s="5">
        <f t="shared" ref="R99:R121" ca="1" si="113">$D$9*$D$47*(1-$D$39)*X70*L99*$D$18</f>
        <v>0</v>
      </c>
      <c r="S99" s="5">
        <f t="shared" ref="S99:S121" ca="1" si="114">$D$9*$D$48*(1-$D$40)*Y70*M99*$D$18</f>
        <v>0</v>
      </c>
      <c r="U99" s="100">
        <v>1.5</v>
      </c>
      <c r="V99" s="5">
        <f t="shared" ref="V99:V121" ca="1" si="115">($D$49/PI())*COS(PI()*K41/180)*(1-$D$37)*J99</f>
        <v>0</v>
      </c>
      <c r="W99" s="5">
        <f t="shared" ref="W99:W121" ca="1" si="116">($D$50/PI())*COS(PI()*M41/180)*(1-$D$38)*K99</f>
        <v>0</v>
      </c>
      <c r="X99" s="5">
        <f t="shared" ref="X99:X121" ca="1" si="117">($D$51/PI())*COS(PI()*O41/180)*(1-$D$39)*L99</f>
        <v>0</v>
      </c>
      <c r="Y99" s="5">
        <f t="shared" ref="Y99:Y121" ca="1" si="118">($D$52/PI())*COS(PI()*Q41/180)*(1-$D$40)*M99</f>
        <v>0</v>
      </c>
      <c r="AO99" s="4" t="s">
        <v>2</v>
      </c>
      <c r="AP99" t="s">
        <v>13</v>
      </c>
      <c r="AQ99" t="s">
        <v>14</v>
      </c>
      <c r="AR99" t="s">
        <v>15</v>
      </c>
      <c r="AS99" t="s">
        <v>16</v>
      </c>
      <c r="AT99" t="s">
        <v>17</v>
      </c>
      <c r="AU99" t="s">
        <v>18</v>
      </c>
      <c r="AV99" t="s">
        <v>19</v>
      </c>
      <c r="AW99" t="s">
        <v>20</v>
      </c>
      <c r="AX99" t="s">
        <v>21</v>
      </c>
      <c r="AY99" t="s">
        <v>22</v>
      </c>
      <c r="AZ99" t="s">
        <v>23</v>
      </c>
      <c r="BA99" t="s">
        <v>24</v>
      </c>
      <c r="BB99" s="4" t="s">
        <v>2</v>
      </c>
      <c r="BC99" t="s">
        <v>29</v>
      </c>
      <c r="BD99" t="s">
        <v>30</v>
      </c>
      <c r="BE99" t="s">
        <v>15</v>
      </c>
      <c r="BF99" t="s">
        <v>16</v>
      </c>
      <c r="BG99" t="s">
        <v>31</v>
      </c>
      <c r="BH99" t="s">
        <v>32</v>
      </c>
      <c r="BI99" t="s">
        <v>33</v>
      </c>
      <c r="BJ99" t="s">
        <v>34</v>
      </c>
      <c r="BK99" t="s">
        <v>35</v>
      </c>
      <c r="BL99" t="s">
        <v>36</v>
      </c>
      <c r="BM99" t="s">
        <v>37</v>
      </c>
      <c r="BN99" t="s">
        <v>38</v>
      </c>
      <c r="BO99" s="4" t="s">
        <v>2</v>
      </c>
      <c r="BP99" t="s">
        <v>44</v>
      </c>
      <c r="BQ99" t="s">
        <v>45</v>
      </c>
      <c r="BR99" t="s">
        <v>31</v>
      </c>
      <c r="BS99" t="s">
        <v>32</v>
      </c>
      <c r="BT99" t="s">
        <v>48</v>
      </c>
      <c r="BU99" t="s">
        <v>49</v>
      </c>
      <c r="BV99" t="s">
        <v>23</v>
      </c>
      <c r="BW99" t="s">
        <v>24</v>
      </c>
      <c r="BX99" t="s">
        <v>50</v>
      </c>
      <c r="BY99" t="s">
        <v>51</v>
      </c>
      <c r="BZ99" s="4" t="s">
        <v>2</v>
      </c>
      <c r="CA99" t="s">
        <v>46</v>
      </c>
      <c r="CB99" t="s">
        <v>47</v>
      </c>
      <c r="CC99" t="s">
        <v>58</v>
      </c>
      <c r="CD99" t="s">
        <v>59</v>
      </c>
      <c r="CE99" t="s">
        <v>48</v>
      </c>
      <c r="CF99" t="s">
        <v>49</v>
      </c>
      <c r="CG99" t="s">
        <v>23</v>
      </c>
      <c r="CH99" t="s">
        <v>24</v>
      </c>
      <c r="CI99" t="s">
        <v>37</v>
      </c>
      <c r="CJ99" t="s">
        <v>38</v>
      </c>
      <c r="CM99" s="13" t="s">
        <v>130</v>
      </c>
      <c r="CN99" s="20">
        <v>41.258650000000003</v>
      </c>
      <c r="CO99" s="20">
        <v>-70.031040000000004</v>
      </c>
      <c r="CP99" s="19">
        <v>0.37</v>
      </c>
      <c r="CQ99" s="19">
        <v>0.39299999999999996</v>
      </c>
      <c r="CR99" s="19">
        <v>0.40199999999999991</v>
      </c>
      <c r="CS99" s="19">
        <v>0.433</v>
      </c>
      <c r="CT99" s="98">
        <v>277.03888888888889</v>
      </c>
      <c r="CU99" s="98">
        <v>288.70555555555558</v>
      </c>
      <c r="CV99" s="98">
        <v>297.59444444444449</v>
      </c>
      <c r="CW99" s="98">
        <v>284.81666666666672</v>
      </c>
      <c r="CX99" s="104">
        <v>5</v>
      </c>
      <c r="CY99" s="104">
        <v>6</v>
      </c>
      <c r="CZ99" s="104">
        <v>7</v>
      </c>
      <c r="DA99" s="104">
        <v>8</v>
      </c>
      <c r="DB99" s="104">
        <v>2</v>
      </c>
      <c r="DG99">
        <f t="shared" si="32"/>
        <v>60</v>
      </c>
      <c r="DH99" s="5">
        <f t="shared" ca="1" si="33"/>
        <v>648.05999999999995</v>
      </c>
      <c r="DI99" s="5">
        <f t="shared" ca="1" si="34"/>
        <v>549.67999999999995</v>
      </c>
      <c r="DJ99" s="5">
        <f t="shared" ca="1" si="35"/>
        <v>543.81163065236353</v>
      </c>
      <c r="DK99" s="5">
        <f t="shared" ca="1" si="36"/>
        <v>640.23933180270762</v>
      </c>
      <c r="DL99" s="5">
        <f t="shared" ca="1" si="4"/>
        <v>25.52</v>
      </c>
      <c r="DM99" s="5">
        <f t="shared" ca="1" si="5"/>
        <v>25.276666666666671</v>
      </c>
      <c r="DN99" s="5">
        <f t="shared" ca="1" si="6"/>
        <v>25.01</v>
      </c>
      <c r="DO99" s="5">
        <f t="shared" ca="1" si="7"/>
        <v>25.213333333333335</v>
      </c>
      <c r="DP99" s="5">
        <f t="shared" ca="1" si="8"/>
        <v>7.51</v>
      </c>
      <c r="DQ99" s="5">
        <f t="shared" ca="1" si="9"/>
        <v>7.01</v>
      </c>
      <c r="DR99" s="5">
        <f t="shared" ca="1" si="10"/>
        <v>6.94</v>
      </c>
      <c r="DS99" s="5">
        <f t="shared" ca="1" si="11"/>
        <v>7.42</v>
      </c>
      <c r="DU99">
        <f t="shared" si="37"/>
        <v>60</v>
      </c>
      <c r="DV99" s="5">
        <v>804.71</v>
      </c>
      <c r="DW99" s="5">
        <v>768.79432981332479</v>
      </c>
      <c r="DX99" s="5">
        <v>760.5901599205464</v>
      </c>
      <c r="DY99" s="5">
        <v>794.99711099175067</v>
      </c>
      <c r="DZ99" s="5">
        <v>648.05999999999995</v>
      </c>
      <c r="EA99" s="5">
        <v>549.67999999999995</v>
      </c>
      <c r="EB99" s="5">
        <v>543.81163065236353</v>
      </c>
      <c r="EC99" s="5">
        <v>640.23933180270762</v>
      </c>
      <c r="EE99">
        <f t="shared" si="38"/>
        <v>60</v>
      </c>
      <c r="EF99" s="5">
        <v>16.27</v>
      </c>
      <c r="EG99" s="5">
        <v>15.549999999999999</v>
      </c>
      <c r="EH99" s="5">
        <v>15.383333333333333</v>
      </c>
      <c r="EI99" s="5">
        <v>16.076666666666668</v>
      </c>
      <c r="EJ99" s="5">
        <v>25.52</v>
      </c>
      <c r="EK99" s="5">
        <v>25.276666666666671</v>
      </c>
      <c r="EL99" s="5">
        <v>25.01</v>
      </c>
      <c r="EM99" s="5">
        <v>25.213333333333335</v>
      </c>
      <c r="EO99">
        <f t="shared" si="39"/>
        <v>60</v>
      </c>
      <c r="EP99" s="5">
        <v>7.6</v>
      </c>
      <c r="EQ99" s="5">
        <v>7.27</v>
      </c>
      <c r="ER99" s="5">
        <v>7.19</v>
      </c>
      <c r="ES99" s="5">
        <v>7.51</v>
      </c>
      <c r="ET99" s="5">
        <v>7.51</v>
      </c>
      <c r="EU99" s="5">
        <v>7.01</v>
      </c>
      <c r="EV99" s="5">
        <v>6.94</v>
      </c>
      <c r="EW99" s="5">
        <v>7.42</v>
      </c>
    </row>
    <row r="100" spans="8:153">
      <c r="H100" t="s">
        <v>266</v>
      </c>
      <c r="I100" s="100">
        <v>2.5</v>
      </c>
      <c r="J100" s="5">
        <f t="shared" ca="1" si="107"/>
        <v>0</v>
      </c>
      <c r="K100" s="5">
        <f t="shared" ca="1" si="108"/>
        <v>0</v>
      </c>
      <c r="L100" s="5">
        <f t="shared" ca="1" si="109"/>
        <v>0</v>
      </c>
      <c r="M100" s="5">
        <f t="shared" ca="1" si="110"/>
        <v>0</v>
      </c>
      <c r="O100" s="100">
        <v>2.5</v>
      </c>
      <c r="P100" s="5">
        <f t="shared" ca="1" si="111"/>
        <v>0</v>
      </c>
      <c r="Q100" s="5">
        <f t="shared" ca="1" si="112"/>
        <v>0</v>
      </c>
      <c r="R100" s="5">
        <f t="shared" ca="1" si="113"/>
        <v>0</v>
      </c>
      <c r="S100" s="5">
        <f t="shared" ca="1" si="114"/>
        <v>0</v>
      </c>
      <c r="U100" s="100">
        <v>2.5</v>
      </c>
      <c r="V100" s="5">
        <f t="shared" ca="1" si="115"/>
        <v>0</v>
      </c>
      <c r="W100" s="5">
        <f t="shared" ca="1" si="116"/>
        <v>0</v>
      </c>
      <c r="X100" s="5">
        <f t="shared" ca="1" si="117"/>
        <v>0</v>
      </c>
      <c r="Y100" s="5">
        <f t="shared" ca="1" si="118"/>
        <v>0</v>
      </c>
      <c r="AN100" s="3"/>
      <c r="AO100">
        <v>0.5</v>
      </c>
      <c r="AP100" s="5">
        <v>1.1299999999999999</v>
      </c>
      <c r="AQ100" s="5">
        <v>137.38</v>
      </c>
      <c r="AR100" s="5">
        <v>359.13</v>
      </c>
      <c r="AS100" s="5">
        <v>132.80000000000001</v>
      </c>
      <c r="AT100" s="5">
        <v>0.19</v>
      </c>
      <c r="AU100" s="5">
        <v>127.99</v>
      </c>
      <c r="AV100" s="5">
        <v>357.74</v>
      </c>
      <c r="AW100" s="5">
        <v>123.26</v>
      </c>
      <c r="AX100" s="5">
        <v>2.37</v>
      </c>
      <c r="AY100" s="5">
        <v>120.29</v>
      </c>
      <c r="AZ100" s="5">
        <v>11.7</v>
      </c>
      <c r="BA100" s="5">
        <v>118.71</v>
      </c>
      <c r="BB100">
        <v>0.5</v>
      </c>
      <c r="BC100" s="5">
        <v>357.89</v>
      </c>
      <c r="BD100" s="5">
        <v>137.16</v>
      </c>
      <c r="BE100" s="5">
        <v>7.75</v>
      </c>
      <c r="BF100" s="5">
        <v>132.80000000000001</v>
      </c>
      <c r="BG100" s="5">
        <v>0.09</v>
      </c>
      <c r="BH100" s="5">
        <v>127.04</v>
      </c>
      <c r="BI100" s="5">
        <v>359.22</v>
      </c>
      <c r="BJ100" s="5">
        <v>122.13</v>
      </c>
      <c r="BK100" s="5">
        <v>2.96</v>
      </c>
      <c r="BL100" s="5">
        <v>118.15</v>
      </c>
      <c r="BM100" s="5">
        <v>356.98</v>
      </c>
      <c r="BN100" s="5">
        <v>115.01</v>
      </c>
      <c r="BO100">
        <v>0.5</v>
      </c>
      <c r="BP100" s="5">
        <v>0.11</v>
      </c>
      <c r="BQ100" s="5">
        <v>130.97</v>
      </c>
      <c r="BR100">
        <v>6.11</v>
      </c>
      <c r="BS100">
        <v>127.53</v>
      </c>
      <c r="BT100" s="5">
        <v>2.83</v>
      </c>
      <c r="BU100" s="5">
        <v>124.05</v>
      </c>
      <c r="BV100" s="5">
        <v>2.5299999999999998</v>
      </c>
      <c r="BW100" s="5">
        <v>120.32</v>
      </c>
      <c r="BX100" s="5">
        <v>359.68</v>
      </c>
      <c r="BY100" s="5">
        <v>115.68</v>
      </c>
      <c r="BZ100">
        <v>0.5</v>
      </c>
      <c r="CA100" s="5">
        <v>11.06</v>
      </c>
      <c r="CB100" s="5">
        <v>129.76</v>
      </c>
      <c r="CC100" s="5">
        <v>7.37</v>
      </c>
      <c r="CD100" s="5">
        <v>126.16</v>
      </c>
      <c r="CE100" s="5">
        <v>12.73</v>
      </c>
      <c r="CF100" s="5">
        <v>122.99</v>
      </c>
      <c r="CG100" s="5">
        <v>2.94</v>
      </c>
      <c r="CH100" s="5">
        <v>119.93</v>
      </c>
      <c r="CI100" s="5">
        <v>3.9</v>
      </c>
      <c r="CJ100" s="5">
        <v>115.51</v>
      </c>
      <c r="CM100" s="13" t="s">
        <v>131</v>
      </c>
      <c r="CN100" s="20">
        <v>39.287979999999997</v>
      </c>
      <c r="CO100" s="20">
        <v>-76.579480000000004</v>
      </c>
      <c r="CP100" s="19">
        <v>0.32399999999999995</v>
      </c>
      <c r="CQ100" s="19">
        <v>0.36000000000000004</v>
      </c>
      <c r="CR100" s="19">
        <v>0.35599999999999998</v>
      </c>
      <c r="CS100" s="19">
        <v>0.34700000000000003</v>
      </c>
      <c r="CT100" s="98">
        <v>280.92777777777781</v>
      </c>
      <c r="CU100" s="98">
        <v>297.03888888888895</v>
      </c>
      <c r="CV100" s="98">
        <v>303.70555555555558</v>
      </c>
      <c r="CW100" s="98">
        <v>287.59444444444449</v>
      </c>
      <c r="CX100" s="104">
        <v>5</v>
      </c>
      <c r="CY100" s="104">
        <v>6</v>
      </c>
      <c r="CZ100" s="104">
        <v>7</v>
      </c>
      <c r="DA100" s="104">
        <v>8</v>
      </c>
      <c r="DB100" s="104">
        <v>2</v>
      </c>
      <c r="DG100">
        <f t="shared" si="32"/>
        <v>61</v>
      </c>
      <c r="DH100" s="5">
        <f t="shared" ca="1" si="33"/>
        <v>636.5</v>
      </c>
      <c r="DI100" s="5">
        <f t="shared" ca="1" si="34"/>
        <v>538.75</v>
      </c>
      <c r="DJ100" s="5">
        <f t="shared" ca="1" si="35"/>
        <v>532.99831904737459</v>
      </c>
      <c r="DK100" s="5">
        <f t="shared" ca="1" si="36"/>
        <v>628.81883574425729</v>
      </c>
      <c r="DL100" s="5">
        <f t="shared" ca="1" si="4"/>
        <v>24.791333333333334</v>
      </c>
      <c r="DM100" s="5">
        <f t="shared" ca="1" si="5"/>
        <v>24.539666666666669</v>
      </c>
      <c r="DN100" s="5">
        <f t="shared" ca="1" si="6"/>
        <v>24.280333333333335</v>
      </c>
      <c r="DO100" s="5">
        <f t="shared" ca="1" si="7"/>
        <v>24.494</v>
      </c>
      <c r="DP100" s="5">
        <f t="shared" ca="1" si="8"/>
        <v>7.1349999999999998</v>
      </c>
      <c r="DQ100" s="5">
        <f t="shared" ca="1" si="9"/>
        <v>6.6669999999999998</v>
      </c>
      <c r="DR100" s="5">
        <f t="shared" ca="1" si="10"/>
        <v>6.6000000000000005</v>
      </c>
      <c r="DS100" s="5">
        <f t="shared" ca="1" si="11"/>
        <v>7.0489999999999995</v>
      </c>
      <c r="DU100">
        <f t="shared" si="37"/>
        <v>61</v>
      </c>
      <c r="DV100" s="5">
        <v>795.34</v>
      </c>
      <c r="DW100" s="5">
        <v>759.84252994709857</v>
      </c>
      <c r="DX100" s="5">
        <v>751.73388896771178</v>
      </c>
      <c r="DY100" s="5">
        <v>785.74020734945373</v>
      </c>
      <c r="DZ100" s="5">
        <v>636.5</v>
      </c>
      <c r="EA100" s="5">
        <v>538.75</v>
      </c>
      <c r="EB100" s="5">
        <v>532.99831904737459</v>
      </c>
      <c r="EC100" s="5">
        <v>628.81883574425729</v>
      </c>
      <c r="EE100">
        <f t="shared" si="38"/>
        <v>61</v>
      </c>
      <c r="EF100" s="5">
        <v>15.876999999999999</v>
      </c>
      <c r="EG100" s="5">
        <v>15.173999999999999</v>
      </c>
      <c r="EH100" s="5">
        <v>15.011333333333333</v>
      </c>
      <c r="EI100" s="5">
        <v>15.688333333333334</v>
      </c>
      <c r="EJ100" s="5">
        <v>24.791333333333334</v>
      </c>
      <c r="EK100" s="5">
        <v>24.539666666666669</v>
      </c>
      <c r="EL100" s="5">
        <v>24.280333333333335</v>
      </c>
      <c r="EM100" s="5">
        <v>24.494</v>
      </c>
      <c r="EO100">
        <f t="shared" si="39"/>
        <v>61</v>
      </c>
      <c r="EP100" s="5">
        <v>7.2269999999999994</v>
      </c>
      <c r="EQ100" s="5">
        <v>6.9129999999999994</v>
      </c>
      <c r="ER100" s="5">
        <v>6.8370000000000006</v>
      </c>
      <c r="ES100" s="5">
        <v>7.141</v>
      </c>
      <c r="ET100" s="5">
        <v>7.1349999999999998</v>
      </c>
      <c r="EU100" s="5">
        <v>6.6669999999999998</v>
      </c>
      <c r="EV100" s="5">
        <v>6.6000000000000005</v>
      </c>
      <c r="EW100" s="5">
        <v>7.0489999999999995</v>
      </c>
    </row>
    <row r="101" spans="8:153">
      <c r="H101" t="s">
        <v>267</v>
      </c>
      <c r="I101" s="100">
        <v>3.5</v>
      </c>
      <c r="J101" s="5">
        <f t="shared" ca="1" si="107"/>
        <v>0</v>
      </c>
      <c r="K101" s="5">
        <f t="shared" ca="1" si="108"/>
        <v>0</v>
      </c>
      <c r="L101" s="5">
        <f t="shared" ca="1" si="109"/>
        <v>0</v>
      </c>
      <c r="M101" s="5">
        <f t="shared" ca="1" si="110"/>
        <v>0</v>
      </c>
      <c r="O101" s="100">
        <v>3.5</v>
      </c>
      <c r="P101" s="5">
        <f t="shared" ca="1" si="111"/>
        <v>0</v>
      </c>
      <c r="Q101" s="5">
        <f t="shared" ca="1" si="112"/>
        <v>0</v>
      </c>
      <c r="R101" s="5">
        <f t="shared" ca="1" si="113"/>
        <v>0</v>
      </c>
      <c r="S101" s="5">
        <f t="shared" ca="1" si="114"/>
        <v>0</v>
      </c>
      <c r="U101" s="100">
        <v>3.5</v>
      </c>
      <c r="V101" s="5">
        <f t="shared" ca="1" si="115"/>
        <v>0</v>
      </c>
      <c r="W101" s="5">
        <f t="shared" ca="1" si="116"/>
        <v>0</v>
      </c>
      <c r="X101" s="5">
        <f t="shared" ca="1" si="117"/>
        <v>0</v>
      </c>
      <c r="Y101" s="5">
        <f t="shared" ca="1" si="118"/>
        <v>0</v>
      </c>
      <c r="AO101">
        <f>AO100+1</f>
        <v>1.5</v>
      </c>
      <c r="AP101" s="5">
        <v>21.51</v>
      </c>
      <c r="AQ101" s="5">
        <v>134.72999999999999</v>
      </c>
      <c r="AR101" s="5">
        <v>18.260000000000002</v>
      </c>
      <c r="AS101" s="5">
        <v>130.87</v>
      </c>
      <c r="AT101" s="5">
        <v>18.03</v>
      </c>
      <c r="AU101" s="5">
        <v>126.05</v>
      </c>
      <c r="AV101" s="5">
        <v>14.71</v>
      </c>
      <c r="AW101" s="5">
        <v>121.88</v>
      </c>
      <c r="AX101" s="5">
        <v>18.670000000000002</v>
      </c>
      <c r="AY101" s="5">
        <v>118.26</v>
      </c>
      <c r="AZ101" s="5">
        <v>27.29</v>
      </c>
      <c r="BA101" s="5">
        <v>115.01</v>
      </c>
      <c r="BB101">
        <f>BB100+1</f>
        <v>1.5</v>
      </c>
      <c r="BC101" s="5">
        <v>18.5</v>
      </c>
      <c r="BD101" s="5">
        <v>135.22999999999999</v>
      </c>
      <c r="BE101" s="5">
        <v>26.11</v>
      </c>
      <c r="BF101" s="5">
        <v>128.97999999999999</v>
      </c>
      <c r="BG101" s="5">
        <v>17.73</v>
      </c>
      <c r="BH101" s="5">
        <v>125.16</v>
      </c>
      <c r="BI101" s="5">
        <v>16</v>
      </c>
      <c r="BJ101" s="5">
        <v>120.91</v>
      </c>
      <c r="BK101" s="5">
        <v>18.95</v>
      </c>
      <c r="BL101" s="5">
        <v>116.13</v>
      </c>
      <c r="BM101" s="5">
        <v>12.75</v>
      </c>
      <c r="BN101" s="5">
        <v>114.16</v>
      </c>
      <c r="BO101">
        <f>BO100+1</f>
        <v>1.5</v>
      </c>
      <c r="BP101" s="5">
        <v>18.68</v>
      </c>
      <c r="BQ101" s="5">
        <v>128.55000000000001</v>
      </c>
      <c r="BR101">
        <v>23.4</v>
      </c>
      <c r="BS101">
        <v>124.11</v>
      </c>
      <c r="BT101" s="5">
        <v>19.739999999999998</v>
      </c>
      <c r="BU101" s="5">
        <v>121.77</v>
      </c>
      <c r="BV101" s="5">
        <v>18.84</v>
      </c>
      <c r="BW101" s="5">
        <v>118.18</v>
      </c>
      <c r="BX101" s="5">
        <v>15.47</v>
      </c>
      <c r="BY101" s="5">
        <v>114.18</v>
      </c>
      <c r="BZ101">
        <f>BZ100+1</f>
        <v>1.5</v>
      </c>
      <c r="CA101" s="5">
        <v>28.4</v>
      </c>
      <c r="CB101" s="5">
        <v>125.51</v>
      </c>
      <c r="CC101" s="5">
        <v>24.36</v>
      </c>
      <c r="CD101" s="5">
        <v>122.62</v>
      </c>
      <c r="CE101" s="5">
        <v>28.79</v>
      </c>
      <c r="CF101" s="5">
        <v>118.87</v>
      </c>
      <c r="CG101" s="5">
        <v>19.170000000000002</v>
      </c>
      <c r="CH101" s="5">
        <v>117.89</v>
      </c>
      <c r="CI101" s="5">
        <v>19.53</v>
      </c>
      <c r="CJ101" s="5">
        <v>113.48</v>
      </c>
      <c r="CM101" s="13" t="s">
        <v>132</v>
      </c>
      <c r="CN101" s="20">
        <v>44.910969999999999</v>
      </c>
      <c r="CO101" s="20">
        <v>-66.990799999999993</v>
      </c>
      <c r="CP101" s="19">
        <v>0.373</v>
      </c>
      <c r="CQ101" s="19">
        <v>0.45900000000000002</v>
      </c>
      <c r="CR101" s="19">
        <v>0.44699999999999995</v>
      </c>
      <c r="CS101" s="19">
        <v>0.48200000000000004</v>
      </c>
      <c r="CT101" s="98">
        <v>273.14999999999998</v>
      </c>
      <c r="CU101" s="98">
        <v>288.70555555555558</v>
      </c>
      <c r="CV101" s="98">
        <v>296.48333333333335</v>
      </c>
      <c r="CW101" s="98">
        <v>280.92777777777781</v>
      </c>
      <c r="CX101" s="104">
        <v>5</v>
      </c>
      <c r="CY101" s="104">
        <v>6</v>
      </c>
      <c r="CZ101" s="104">
        <v>7</v>
      </c>
      <c r="DA101" s="104">
        <v>8</v>
      </c>
      <c r="DB101" s="104">
        <v>2</v>
      </c>
      <c r="DG101">
        <f t="shared" si="32"/>
        <v>62</v>
      </c>
      <c r="DH101" s="5">
        <f t="shared" ca="1" si="33"/>
        <v>624.51</v>
      </c>
      <c r="DI101" s="5">
        <f t="shared" ca="1" si="34"/>
        <v>527.37</v>
      </c>
      <c r="DJ101" s="5">
        <f t="shared" ca="1" si="35"/>
        <v>521.7398116306523</v>
      </c>
      <c r="DK101" s="5">
        <f t="shared" ca="1" si="36"/>
        <v>616.97352884626264</v>
      </c>
      <c r="DL101" s="5">
        <f t="shared" ca="1" si="4"/>
        <v>24.062666666666669</v>
      </c>
      <c r="DM101" s="5">
        <f t="shared" ca="1" si="5"/>
        <v>23.802666666666667</v>
      </c>
      <c r="DN101" s="5">
        <f t="shared" ca="1" si="6"/>
        <v>23.550666666666668</v>
      </c>
      <c r="DO101" s="5">
        <f t="shared" ca="1" si="7"/>
        <v>23.774666666666665</v>
      </c>
      <c r="DP101" s="5">
        <f t="shared" ca="1" si="8"/>
        <v>6.76</v>
      </c>
      <c r="DQ101" s="5">
        <f t="shared" ca="1" si="9"/>
        <v>6.3239999999999998</v>
      </c>
      <c r="DR101" s="5">
        <f t="shared" ca="1" si="10"/>
        <v>6.2600000000000007</v>
      </c>
      <c r="DS101" s="5">
        <f t="shared" ca="1" si="11"/>
        <v>6.677999999999999</v>
      </c>
      <c r="DU101">
        <f t="shared" si="37"/>
        <v>62</v>
      </c>
      <c r="DV101" s="5">
        <v>785.58</v>
      </c>
      <c r="DW101" s="5">
        <v>750.51813648985558</v>
      </c>
      <c r="DX101" s="5">
        <v>742.50900054725662</v>
      </c>
      <c r="DY101" s="5">
        <v>776.09801102620759</v>
      </c>
      <c r="DZ101" s="5">
        <v>624.51</v>
      </c>
      <c r="EA101" s="5">
        <v>527.37</v>
      </c>
      <c r="EB101" s="5">
        <v>521.7398116306523</v>
      </c>
      <c r="EC101" s="5">
        <v>616.97352884626264</v>
      </c>
      <c r="EE101">
        <f t="shared" si="38"/>
        <v>62</v>
      </c>
      <c r="EF101" s="5">
        <v>15.483999999999998</v>
      </c>
      <c r="EG101" s="5">
        <v>14.798</v>
      </c>
      <c r="EH101" s="5">
        <v>14.639333333333333</v>
      </c>
      <c r="EI101" s="5">
        <v>15.3</v>
      </c>
      <c r="EJ101" s="5">
        <v>24.062666666666669</v>
      </c>
      <c r="EK101" s="5">
        <v>23.802666666666667</v>
      </c>
      <c r="EL101" s="5">
        <v>23.550666666666668</v>
      </c>
      <c r="EM101" s="5">
        <v>23.774666666666665</v>
      </c>
      <c r="EO101">
        <f t="shared" si="39"/>
        <v>62</v>
      </c>
      <c r="EP101" s="5">
        <v>6.8539999999999992</v>
      </c>
      <c r="EQ101" s="5">
        <v>6.5559999999999992</v>
      </c>
      <c r="ER101" s="5">
        <v>6.4840000000000009</v>
      </c>
      <c r="ES101" s="5">
        <v>6.7720000000000002</v>
      </c>
      <c r="ET101" s="5">
        <v>6.76</v>
      </c>
      <c r="EU101" s="5">
        <v>6.3239999999999998</v>
      </c>
      <c r="EV101" s="5">
        <v>6.2600000000000007</v>
      </c>
      <c r="EW101" s="5">
        <v>6.677999999999999</v>
      </c>
    </row>
    <row r="102" spans="8:153">
      <c r="H102" t="s">
        <v>268</v>
      </c>
      <c r="I102" s="100">
        <v>4.5</v>
      </c>
      <c r="J102" s="5">
        <f t="shared" ca="1" si="107"/>
        <v>0</v>
      </c>
      <c r="K102" s="5">
        <f t="shared" ca="1" si="108"/>
        <v>0</v>
      </c>
      <c r="L102" s="5">
        <f t="shared" ca="1" si="109"/>
        <v>0</v>
      </c>
      <c r="M102" s="5">
        <f t="shared" ca="1" si="110"/>
        <v>0</v>
      </c>
      <c r="O102" s="100">
        <v>4.5</v>
      </c>
      <c r="P102" s="5">
        <f t="shared" ca="1" si="111"/>
        <v>0</v>
      </c>
      <c r="Q102" s="5">
        <f t="shared" ca="1" si="112"/>
        <v>0</v>
      </c>
      <c r="R102" s="5">
        <f t="shared" ca="1" si="113"/>
        <v>0</v>
      </c>
      <c r="S102" s="5">
        <f t="shared" ca="1" si="114"/>
        <v>0</v>
      </c>
      <c r="U102" s="100">
        <v>4.5</v>
      </c>
      <c r="V102" s="5">
        <f t="shared" ca="1" si="115"/>
        <v>0</v>
      </c>
      <c r="W102" s="5">
        <f t="shared" ca="1" si="116"/>
        <v>0</v>
      </c>
      <c r="X102" s="5">
        <f t="shared" ca="1" si="117"/>
        <v>0</v>
      </c>
      <c r="Y102" s="5">
        <f t="shared" ca="1" si="118"/>
        <v>0</v>
      </c>
      <c r="AO102">
        <f t="shared" ref="AO102" si="119">AO101+1</f>
        <v>2.5</v>
      </c>
      <c r="AP102" s="5">
        <v>38.42</v>
      </c>
      <c r="AQ102" s="5">
        <v>127.93</v>
      </c>
      <c r="AR102" s="5">
        <v>34.94</v>
      </c>
      <c r="AS102" s="5">
        <v>125.09</v>
      </c>
      <c r="AT102" s="5">
        <v>33.99</v>
      </c>
      <c r="AU102" s="5">
        <v>120.66</v>
      </c>
      <c r="AV102" s="5">
        <v>30.46</v>
      </c>
      <c r="AW102" s="5">
        <v>117.48</v>
      </c>
      <c r="AX102" s="5">
        <v>33.700000000000003</v>
      </c>
      <c r="AY102" s="5">
        <v>113.3</v>
      </c>
      <c r="AZ102" s="5">
        <v>41.32</v>
      </c>
      <c r="BA102" s="5">
        <v>108.97</v>
      </c>
      <c r="BB102">
        <f t="shared" ref="BB102:BB123" si="120">BB101+1</f>
        <v>2.5</v>
      </c>
      <c r="BC102" s="5">
        <v>36.01</v>
      </c>
      <c r="BD102" s="5">
        <v>129.07</v>
      </c>
      <c r="BE102" s="5">
        <v>41.36</v>
      </c>
      <c r="BF102" s="5">
        <v>121.77</v>
      </c>
      <c r="BG102" s="5">
        <v>33.6</v>
      </c>
      <c r="BH102" s="5">
        <v>120.02</v>
      </c>
      <c r="BI102" s="5">
        <v>31.51</v>
      </c>
      <c r="BJ102" s="5">
        <v>116.3</v>
      </c>
      <c r="BK102" s="5">
        <v>33.78</v>
      </c>
      <c r="BL102" s="5">
        <v>111.44</v>
      </c>
      <c r="BM102" s="5">
        <v>27.83</v>
      </c>
      <c r="BN102" s="5">
        <v>110.7</v>
      </c>
      <c r="BO102">
        <f t="shared" ref="BO102:BO123" si="121">BO101+1</f>
        <v>2.5</v>
      </c>
      <c r="BP102" s="5">
        <v>34.979999999999997</v>
      </c>
      <c r="BQ102" s="5">
        <v>123.16</v>
      </c>
      <c r="BR102">
        <v>38.5</v>
      </c>
      <c r="BS102">
        <v>117.92</v>
      </c>
      <c r="BT102" s="5">
        <v>35</v>
      </c>
      <c r="BU102" s="5">
        <v>116.41</v>
      </c>
      <c r="BV102" s="5">
        <v>33.86</v>
      </c>
      <c r="BW102" s="5">
        <v>113.45</v>
      </c>
      <c r="BX102" s="5">
        <v>30.41</v>
      </c>
      <c r="BY102" s="5">
        <v>110.41</v>
      </c>
      <c r="BZ102">
        <f t="shared" ref="BZ102:BZ123" si="122">BZ101+1</f>
        <v>2.5</v>
      </c>
      <c r="CA102" s="5">
        <v>42.93</v>
      </c>
      <c r="CB102" s="5">
        <v>118.09</v>
      </c>
      <c r="CC102" s="5">
        <v>39.21</v>
      </c>
      <c r="CD102" s="5">
        <v>116.52</v>
      </c>
      <c r="CE102" s="5">
        <v>42.82</v>
      </c>
      <c r="CF102" s="5">
        <v>112.07</v>
      </c>
      <c r="CG102" s="5">
        <v>34.130000000000003</v>
      </c>
      <c r="CH102" s="5">
        <v>112.82</v>
      </c>
      <c r="CI102" s="5">
        <v>34.14</v>
      </c>
      <c r="CJ102" s="5">
        <v>108.91</v>
      </c>
      <c r="CM102" s="17" t="s">
        <v>133</v>
      </c>
      <c r="CN102" s="20">
        <v>43.680970000000002</v>
      </c>
      <c r="CO102" s="20">
        <v>-70.299270000000007</v>
      </c>
      <c r="CP102" s="19">
        <v>0.30099999999999993</v>
      </c>
      <c r="CQ102" s="19">
        <v>0.39899999999999997</v>
      </c>
      <c r="CR102" s="19">
        <v>0.378</v>
      </c>
      <c r="CS102" s="19">
        <v>0.37999999999999995</v>
      </c>
      <c r="CT102" s="98">
        <v>274.81666666666666</v>
      </c>
      <c r="CU102" s="98">
        <v>290.92777777777781</v>
      </c>
      <c r="CV102" s="98">
        <v>298.70555555555558</v>
      </c>
      <c r="CW102" s="98">
        <v>282.03888888888889</v>
      </c>
      <c r="CX102" s="104">
        <v>5</v>
      </c>
      <c r="CY102" s="104">
        <v>6</v>
      </c>
      <c r="CZ102" s="104">
        <v>7</v>
      </c>
      <c r="DA102" s="104">
        <v>8</v>
      </c>
      <c r="DB102" s="104">
        <v>2</v>
      </c>
      <c r="DG102">
        <f t="shared" si="32"/>
        <v>63</v>
      </c>
      <c r="DH102" s="5">
        <f t="shared" ca="1" si="33"/>
        <v>611.98</v>
      </c>
      <c r="DI102" s="5">
        <f t="shared" ca="1" si="34"/>
        <v>515.51</v>
      </c>
      <c r="DJ102" s="5">
        <f t="shared" ca="1" si="35"/>
        <v>510.00642868141449</v>
      </c>
      <c r="DK102" s="5">
        <f t="shared" ca="1" si="36"/>
        <v>604.59473856837485</v>
      </c>
      <c r="DL102" s="5">
        <f t="shared" ca="1" si="4"/>
        <v>23.334000000000003</v>
      </c>
      <c r="DM102" s="5">
        <f t="shared" ca="1" si="5"/>
        <v>23.065666666666665</v>
      </c>
      <c r="DN102" s="5">
        <f t="shared" ca="1" si="6"/>
        <v>22.821000000000002</v>
      </c>
      <c r="DO102" s="5">
        <f t="shared" ca="1" si="7"/>
        <v>23.05533333333333</v>
      </c>
      <c r="DP102" s="5">
        <f t="shared" ca="1" si="8"/>
        <v>6.3849999999999998</v>
      </c>
      <c r="DQ102" s="5">
        <f t="shared" ca="1" si="9"/>
        <v>5.9809999999999999</v>
      </c>
      <c r="DR102" s="5">
        <f t="shared" ca="1" si="10"/>
        <v>5.9200000000000008</v>
      </c>
      <c r="DS102" s="5">
        <f t="shared" ca="1" si="11"/>
        <v>6.3069999999999986</v>
      </c>
      <c r="DU102">
        <f t="shared" si="37"/>
        <v>63</v>
      </c>
      <c r="DV102" s="5">
        <v>775.31</v>
      </c>
      <c r="DW102" s="5">
        <v>740.70650525974418</v>
      </c>
      <c r="DX102" s="5">
        <v>732.80207389991278</v>
      </c>
      <c r="DY102" s="5">
        <v>765.95197042787356</v>
      </c>
      <c r="DZ102" s="5">
        <v>611.98</v>
      </c>
      <c r="EA102" s="5">
        <v>515.51</v>
      </c>
      <c r="EB102" s="5">
        <v>510.00642868141449</v>
      </c>
      <c r="EC102" s="5">
        <v>604.59473856837485</v>
      </c>
      <c r="EE102">
        <f t="shared" si="38"/>
        <v>63</v>
      </c>
      <c r="EF102" s="5">
        <v>15.090999999999998</v>
      </c>
      <c r="EG102" s="5">
        <v>14.422000000000001</v>
      </c>
      <c r="EH102" s="5">
        <v>14.267333333333333</v>
      </c>
      <c r="EI102" s="5">
        <v>14.911666666666667</v>
      </c>
      <c r="EJ102" s="5">
        <v>23.334000000000003</v>
      </c>
      <c r="EK102" s="5">
        <v>23.065666666666665</v>
      </c>
      <c r="EL102" s="5">
        <v>22.821000000000002</v>
      </c>
      <c r="EM102" s="5">
        <v>23.05533333333333</v>
      </c>
      <c r="EO102">
        <f t="shared" si="39"/>
        <v>63</v>
      </c>
      <c r="EP102" s="5">
        <v>6.480999999999999</v>
      </c>
      <c r="EQ102" s="5">
        <v>6.198999999999999</v>
      </c>
      <c r="ER102" s="5">
        <v>6.1310000000000011</v>
      </c>
      <c r="ES102" s="5">
        <v>6.4030000000000005</v>
      </c>
      <c r="ET102" s="5">
        <v>6.3849999999999998</v>
      </c>
      <c r="EU102" s="5">
        <v>5.9809999999999999</v>
      </c>
      <c r="EV102" s="5">
        <v>5.9200000000000008</v>
      </c>
      <c r="EW102" s="5">
        <v>6.3069999999999986</v>
      </c>
    </row>
    <row r="103" spans="8:153">
      <c r="H103" t="s">
        <v>269</v>
      </c>
      <c r="I103" s="100">
        <v>5.5</v>
      </c>
      <c r="J103" s="5">
        <f t="shared" ca="1" si="107"/>
        <v>0</v>
      </c>
      <c r="K103" s="5">
        <f t="shared" ca="1" si="108"/>
        <v>232.4</v>
      </c>
      <c r="L103" s="5">
        <f t="shared" ca="1" si="109"/>
        <v>180.09654570651335</v>
      </c>
      <c r="M103" s="5">
        <f t="shared" ca="1" si="110"/>
        <v>0</v>
      </c>
      <c r="O103" s="100">
        <v>5.5</v>
      </c>
      <c r="P103" s="5">
        <f t="shared" ca="1" si="111"/>
        <v>0</v>
      </c>
      <c r="Q103" s="5">
        <f t="shared" ca="1" si="112"/>
        <v>4.6702597963268306E-14</v>
      </c>
      <c r="R103" s="5">
        <f t="shared" ca="1" si="113"/>
        <v>3.3406153252887209E-14</v>
      </c>
      <c r="S103" s="5">
        <f t="shared" ca="1" si="114"/>
        <v>0</v>
      </c>
      <c r="U103" s="100">
        <v>5.5</v>
      </c>
      <c r="V103" s="5">
        <f t="shared" ca="1" si="115"/>
        <v>0</v>
      </c>
      <c r="W103" s="5">
        <f t="shared" ca="1" si="116"/>
        <v>2.5884870761841574</v>
      </c>
      <c r="X103" s="5">
        <f t="shared" ca="1" si="117"/>
        <v>1.7457035330158164</v>
      </c>
      <c r="Y103" s="5">
        <f t="shared" ca="1" si="118"/>
        <v>0</v>
      </c>
      <c r="AO103">
        <f t="shared" ref="AO103" si="123">AO102+1</f>
        <v>3.5</v>
      </c>
      <c r="AP103" s="5">
        <v>51.27</v>
      </c>
      <c r="AQ103" s="5">
        <v>118.37</v>
      </c>
      <c r="AR103" s="5">
        <v>48.33</v>
      </c>
      <c r="AS103" s="5">
        <v>116.41</v>
      </c>
      <c r="AT103" s="5">
        <v>47.35</v>
      </c>
      <c r="AU103" s="5">
        <v>112.63</v>
      </c>
      <c r="AV103" s="5">
        <v>44.21</v>
      </c>
      <c r="AW103" s="5">
        <v>110.52</v>
      </c>
      <c r="AX103" s="5">
        <v>46.98</v>
      </c>
      <c r="AY103" s="5">
        <v>106.26</v>
      </c>
      <c r="AZ103" s="5">
        <v>53.68</v>
      </c>
      <c r="BA103" s="5">
        <v>100.99</v>
      </c>
      <c r="BB103">
        <f t="shared" si="120"/>
        <v>3.5</v>
      </c>
      <c r="BC103" s="5">
        <v>49.44</v>
      </c>
      <c r="BD103" s="5">
        <v>119.82</v>
      </c>
      <c r="BE103" s="5">
        <v>53.4</v>
      </c>
      <c r="BF103" s="5">
        <v>112.18</v>
      </c>
      <c r="BG103" s="5">
        <v>47.01</v>
      </c>
      <c r="BH103" s="5">
        <v>112.07</v>
      </c>
      <c r="BI103" s="5">
        <v>45.1</v>
      </c>
      <c r="BJ103" s="5">
        <v>109.26</v>
      </c>
      <c r="BK103" s="5">
        <v>47.05</v>
      </c>
      <c r="BL103" s="5">
        <v>104.56</v>
      </c>
      <c r="BM103" s="5">
        <v>41.69</v>
      </c>
      <c r="BN103" s="5">
        <v>105</v>
      </c>
      <c r="BO103">
        <f t="shared" si="121"/>
        <v>3.5</v>
      </c>
      <c r="BP103" s="5">
        <v>48.28</v>
      </c>
      <c r="BQ103" s="5">
        <v>114.73</v>
      </c>
      <c r="BR103">
        <v>51.08</v>
      </c>
      <c r="BS103">
        <v>109.32</v>
      </c>
      <c r="BT103" s="5">
        <v>48.13</v>
      </c>
      <c r="BU103" s="5">
        <v>108.67</v>
      </c>
      <c r="BV103" s="5">
        <v>47.12</v>
      </c>
      <c r="BW103" s="5">
        <v>106.27</v>
      </c>
      <c r="BX103" s="5">
        <v>44.03</v>
      </c>
      <c r="BY103" s="5">
        <v>104.33</v>
      </c>
      <c r="BZ103">
        <f t="shared" si="122"/>
        <v>3.5</v>
      </c>
      <c r="CA103" s="5">
        <v>54.68</v>
      </c>
      <c r="CB103" s="5">
        <v>108.63</v>
      </c>
      <c r="CC103" s="5">
        <v>51.68</v>
      </c>
      <c r="CD103" s="5">
        <v>107.87</v>
      </c>
      <c r="CE103" s="5">
        <v>54.8</v>
      </c>
      <c r="CF103" s="5">
        <v>103.39</v>
      </c>
      <c r="CG103" s="5">
        <v>47.36</v>
      </c>
      <c r="CH103" s="5">
        <v>105.74</v>
      </c>
      <c r="CI103" s="5">
        <v>47.4</v>
      </c>
      <c r="CJ103" s="5">
        <v>102.31</v>
      </c>
      <c r="CM103" s="13" t="s">
        <v>134</v>
      </c>
      <c r="CN103" s="20">
        <v>45.05838</v>
      </c>
      <c r="CO103" s="20">
        <v>-83.433300000000003</v>
      </c>
      <c r="CP103" s="19">
        <v>0.43499999999999994</v>
      </c>
      <c r="CQ103" s="19">
        <v>0.39099999999999996</v>
      </c>
      <c r="CR103" s="19">
        <v>0.38100000000000001</v>
      </c>
      <c r="CS103" s="19">
        <v>0.55499999999999994</v>
      </c>
      <c r="CT103" s="98">
        <v>272.03888888888889</v>
      </c>
      <c r="CU103" s="98">
        <v>289.26111111111112</v>
      </c>
      <c r="CV103" s="98">
        <v>297.59444444444449</v>
      </c>
      <c r="CW103" s="98">
        <v>279.81666666666666</v>
      </c>
      <c r="CX103" s="104">
        <v>5</v>
      </c>
      <c r="CY103" s="104">
        <v>6</v>
      </c>
      <c r="CZ103" s="104">
        <v>7</v>
      </c>
      <c r="DA103" s="104">
        <v>8</v>
      </c>
      <c r="DB103" s="104">
        <v>2</v>
      </c>
      <c r="DG103">
        <f t="shared" si="32"/>
        <v>64</v>
      </c>
      <c r="DH103" s="5">
        <f t="shared" ca="1" si="33"/>
        <v>598.87</v>
      </c>
      <c r="DI103" s="5">
        <f t="shared" ca="1" si="34"/>
        <v>503.13</v>
      </c>
      <c r="DJ103" s="5">
        <f t="shared" ca="1" si="35"/>
        <v>497.75859723861822</v>
      </c>
      <c r="DK103" s="5">
        <f t="shared" ca="1" si="36"/>
        <v>591.64294762319469</v>
      </c>
      <c r="DL103" s="5">
        <f t="shared" ca="1" si="4"/>
        <v>22.605333333333338</v>
      </c>
      <c r="DM103" s="5">
        <f t="shared" ca="1" si="5"/>
        <v>22.328666666666663</v>
      </c>
      <c r="DN103" s="5">
        <f t="shared" ca="1" si="6"/>
        <v>22.091333333333335</v>
      </c>
      <c r="DO103" s="5">
        <f t="shared" ca="1" si="7"/>
        <v>22.335999999999995</v>
      </c>
      <c r="DP103" s="5">
        <f t="shared" ca="1" si="8"/>
        <v>6.01</v>
      </c>
      <c r="DQ103" s="5">
        <f t="shared" ca="1" si="9"/>
        <v>5.6379999999999999</v>
      </c>
      <c r="DR103" s="5">
        <f t="shared" ca="1" si="10"/>
        <v>5.580000000000001</v>
      </c>
      <c r="DS103" s="5">
        <f t="shared" ca="1" si="11"/>
        <v>5.9359999999999982</v>
      </c>
      <c r="DU103">
        <f t="shared" si="37"/>
        <v>64</v>
      </c>
      <c r="DV103" s="5">
        <v>764.48</v>
      </c>
      <c r="DW103" s="5">
        <v>730.3598678476601</v>
      </c>
      <c r="DX103" s="5">
        <v>722.56585037598563</v>
      </c>
      <c r="DY103" s="5">
        <v>755.2526890568945</v>
      </c>
      <c r="DZ103" s="5">
        <v>598.87</v>
      </c>
      <c r="EA103" s="5">
        <v>503.13</v>
      </c>
      <c r="EB103" s="5">
        <v>497.75859723861822</v>
      </c>
      <c r="EC103" s="5">
        <v>591.64294762319469</v>
      </c>
      <c r="EE103">
        <f t="shared" si="38"/>
        <v>64</v>
      </c>
      <c r="EF103" s="5">
        <v>14.697999999999997</v>
      </c>
      <c r="EG103" s="5">
        <v>14.046000000000001</v>
      </c>
      <c r="EH103" s="5">
        <v>13.895333333333333</v>
      </c>
      <c r="EI103" s="5">
        <v>14.523333333333333</v>
      </c>
      <c r="EJ103" s="5">
        <v>22.605333333333338</v>
      </c>
      <c r="EK103" s="5">
        <v>22.328666666666663</v>
      </c>
      <c r="EL103" s="5">
        <v>22.091333333333335</v>
      </c>
      <c r="EM103" s="5">
        <v>22.335999999999995</v>
      </c>
      <c r="EO103">
        <f t="shared" si="39"/>
        <v>64</v>
      </c>
      <c r="EP103" s="5">
        <v>6.1079999999999988</v>
      </c>
      <c r="EQ103" s="5">
        <v>5.8419999999999987</v>
      </c>
      <c r="ER103" s="5">
        <v>5.7780000000000014</v>
      </c>
      <c r="ES103" s="5">
        <v>6.0340000000000007</v>
      </c>
      <c r="ET103" s="5">
        <v>6.01</v>
      </c>
      <c r="EU103" s="5">
        <v>5.6379999999999999</v>
      </c>
      <c r="EV103" s="5">
        <v>5.580000000000001</v>
      </c>
      <c r="EW103" s="5">
        <v>5.9359999999999982</v>
      </c>
    </row>
    <row r="104" spans="8:153">
      <c r="H104" t="s">
        <v>270</v>
      </c>
      <c r="I104" s="100">
        <v>6.5</v>
      </c>
      <c r="J104" s="5">
        <f t="shared" ca="1" si="107"/>
        <v>0</v>
      </c>
      <c r="K104" s="5">
        <f t="shared" ca="1" si="108"/>
        <v>432.09</v>
      </c>
      <c r="L104" s="5">
        <f t="shared" ca="1" si="109"/>
        <v>411.4005030026176</v>
      </c>
      <c r="M104" s="5">
        <f t="shared" ca="1" si="110"/>
        <v>6.8266113982605159</v>
      </c>
      <c r="O104" s="100">
        <v>6.5</v>
      </c>
      <c r="P104" s="5">
        <f t="shared" ca="1" si="111"/>
        <v>0</v>
      </c>
      <c r="Q104" s="5">
        <f t="shared" ca="1" si="112"/>
        <v>303.45777980104043</v>
      </c>
      <c r="R104" s="5">
        <f t="shared" ca="1" si="113"/>
        <v>218.81634136345099</v>
      </c>
      <c r="S104" s="5">
        <f t="shared" ca="1" si="114"/>
        <v>7.0659470096146997</v>
      </c>
      <c r="U104" s="100">
        <v>6.5</v>
      </c>
      <c r="V104" s="5">
        <f t="shared" ca="1" si="115"/>
        <v>0</v>
      </c>
      <c r="W104" s="5">
        <f t="shared" ca="1" si="116"/>
        <v>9.731885461955061</v>
      </c>
      <c r="X104" s="5">
        <f t="shared" ca="1" si="117"/>
        <v>8.8442601867391222</v>
      </c>
      <c r="Y104" s="5">
        <f t="shared" ca="1" si="118"/>
        <v>4.5277561163148865E-3</v>
      </c>
      <c r="AO104">
        <f t="shared" ref="AO104" si="124">AO103+1</f>
        <v>4.5</v>
      </c>
      <c r="AP104" s="5">
        <v>61</v>
      </c>
      <c r="AQ104" s="5">
        <v>107.16</v>
      </c>
      <c r="AR104" s="5">
        <v>58.94</v>
      </c>
      <c r="AS104" s="5">
        <v>105.97</v>
      </c>
      <c r="AT104" s="5">
        <v>58.41</v>
      </c>
      <c r="AU104" s="5">
        <v>102.97</v>
      </c>
      <c r="AV104" s="5">
        <v>56.03</v>
      </c>
      <c r="AW104" s="5">
        <v>101.67</v>
      </c>
      <c r="AX104" s="5">
        <v>58.63</v>
      </c>
      <c r="AY104" s="5">
        <v>97.52</v>
      </c>
      <c r="AZ104" s="5">
        <v>64.69</v>
      </c>
      <c r="BA104" s="5">
        <v>91.65</v>
      </c>
      <c r="BB104">
        <f t="shared" si="120"/>
        <v>4.5</v>
      </c>
      <c r="BC104" s="5">
        <v>59.61</v>
      </c>
      <c r="BD104" s="5">
        <v>108.85</v>
      </c>
      <c r="BE104" s="5">
        <v>63.01</v>
      </c>
      <c r="BF104" s="5">
        <v>101.15</v>
      </c>
      <c r="BG104" s="5">
        <v>58.18</v>
      </c>
      <c r="BH104" s="5">
        <v>102.44</v>
      </c>
      <c r="BI104" s="5">
        <v>56.85</v>
      </c>
      <c r="BJ104" s="5">
        <v>100.43</v>
      </c>
      <c r="BK104" s="5">
        <v>58.86</v>
      </c>
      <c r="BL104" s="5">
        <v>96.36</v>
      </c>
      <c r="BM104" s="5">
        <v>54.23</v>
      </c>
      <c r="BN104" s="5">
        <v>97.6</v>
      </c>
      <c r="BO104">
        <f t="shared" si="121"/>
        <v>4.5</v>
      </c>
      <c r="BP104" s="5">
        <v>59.01</v>
      </c>
      <c r="BQ104" s="5">
        <v>104.5</v>
      </c>
      <c r="BR104">
        <v>61.59</v>
      </c>
      <c r="BS104">
        <v>99.18</v>
      </c>
      <c r="BT104" s="5">
        <v>59.35</v>
      </c>
      <c r="BU104" s="5">
        <v>99.31</v>
      </c>
      <c r="BV104" s="5">
        <v>58.75</v>
      </c>
      <c r="BW104" s="5">
        <v>97.5</v>
      </c>
      <c r="BX104" s="5">
        <v>56.32</v>
      </c>
      <c r="BY104" s="5">
        <v>96.47</v>
      </c>
      <c r="BZ104">
        <f t="shared" si="122"/>
        <v>4.5</v>
      </c>
      <c r="CA104" s="5">
        <v>64.34</v>
      </c>
      <c r="CB104" s="5">
        <v>97.72</v>
      </c>
      <c r="CC104" s="5">
        <v>62.2</v>
      </c>
      <c r="CD104" s="5">
        <v>97.88</v>
      </c>
      <c r="CE104" s="5">
        <v>65.180000000000007</v>
      </c>
      <c r="CF104" s="5">
        <v>93.27</v>
      </c>
      <c r="CG104" s="5">
        <v>59</v>
      </c>
      <c r="CH104" s="5">
        <v>97.06</v>
      </c>
      <c r="CI104" s="5">
        <v>59.39</v>
      </c>
      <c r="CJ104" s="5">
        <v>94.25</v>
      </c>
      <c r="CM104" s="13" t="s">
        <v>135</v>
      </c>
      <c r="CN104" s="20">
        <v>42.411140000000003</v>
      </c>
      <c r="CO104" s="20">
        <v>-83.028319999999994</v>
      </c>
      <c r="CP104" s="19">
        <v>0.44099999999999995</v>
      </c>
      <c r="CQ104" s="19">
        <v>0.39399999999999996</v>
      </c>
      <c r="CR104" s="19">
        <v>0.35</v>
      </c>
      <c r="CS104" s="19">
        <v>0.49499999999999994</v>
      </c>
      <c r="CT104" s="98">
        <v>273.14999999999998</v>
      </c>
      <c r="CU104" s="98">
        <v>292.59444444444449</v>
      </c>
      <c r="CV104" s="98">
        <v>299.81666666666672</v>
      </c>
      <c r="CW104" s="98">
        <v>280.92777777777781</v>
      </c>
      <c r="CX104" s="104">
        <v>5</v>
      </c>
      <c r="CY104" s="104">
        <v>6</v>
      </c>
      <c r="CZ104" s="104">
        <v>7</v>
      </c>
      <c r="DA104" s="104">
        <v>8</v>
      </c>
      <c r="DB104" s="104">
        <v>2</v>
      </c>
      <c r="DG104">
        <f t="shared" si="32"/>
        <v>65</v>
      </c>
      <c r="DH104" s="5">
        <f t="shared" ca="1" si="33"/>
        <v>585.07000000000005</v>
      </c>
      <c r="DI104" s="5">
        <f t="shared" ca="1" si="34"/>
        <v>490.17</v>
      </c>
      <c r="DJ104" s="5">
        <f t="shared" ca="1" si="35"/>
        <v>484.93695786069907</v>
      </c>
      <c r="DK104" s="5">
        <f t="shared" ca="1" si="36"/>
        <v>578.00948347037343</v>
      </c>
      <c r="DL104" s="5">
        <f t="shared" ref="DL104:DL129" ca="1" si="125">OFFSET($EE104,0,$DL$36)</f>
        <v>21.876666666666672</v>
      </c>
      <c r="DM104" s="5">
        <f t="shared" ref="DM104:DM129" ca="1" si="126">OFFSET($EE104,0,$DM$36)</f>
        <v>21.591666666666661</v>
      </c>
      <c r="DN104" s="5">
        <f t="shared" ref="DN104:DN129" ca="1" si="127">OFFSET($EE104,0,$DN$36)</f>
        <v>21.361666666666668</v>
      </c>
      <c r="DO104" s="5">
        <f t="shared" ref="DO104:DO129" ca="1" si="128">OFFSET($EE104,0,$DO$36)</f>
        <v>21.61666666666666</v>
      </c>
      <c r="DP104" s="5">
        <f t="shared" ref="DP104:DP129" ca="1" si="129">OFFSET($EO104,0,$DP$36)</f>
        <v>5.6349999999999998</v>
      </c>
      <c r="DQ104" s="5">
        <f t="shared" ref="DQ104:DQ129" ca="1" si="130">OFFSET($EO104,0,$DQ$36)</f>
        <v>5.2949999999999999</v>
      </c>
      <c r="DR104" s="5">
        <f t="shared" ref="DR104:DR129" ca="1" si="131">OFFSET($EO104,0,$DR$36)</f>
        <v>5.2400000000000011</v>
      </c>
      <c r="DS104" s="5">
        <f t="shared" ref="DS104:DS129" ca="1" si="132">OFFSET($EO104,0,$DS$36)</f>
        <v>5.5649999999999977</v>
      </c>
      <c r="DU104">
        <f t="shared" si="37"/>
        <v>65</v>
      </c>
      <c r="DV104" s="5">
        <v>753.04</v>
      </c>
      <c r="DW104" s="5">
        <v>719.43045584449806</v>
      </c>
      <c r="DX104" s="5">
        <v>711.75307132577984</v>
      </c>
      <c r="DY104" s="5">
        <v>743.95077041571233</v>
      </c>
      <c r="DZ104" s="5">
        <v>585.07000000000005</v>
      </c>
      <c r="EA104" s="5">
        <v>490.17</v>
      </c>
      <c r="EB104" s="5">
        <v>484.93695786069907</v>
      </c>
      <c r="EC104" s="5">
        <v>578.00948347037343</v>
      </c>
      <c r="EE104">
        <f t="shared" si="38"/>
        <v>65</v>
      </c>
      <c r="EF104" s="5">
        <v>14.304999999999996</v>
      </c>
      <c r="EG104" s="5">
        <v>13.670000000000002</v>
      </c>
      <c r="EH104" s="5">
        <v>13.523333333333333</v>
      </c>
      <c r="EI104" s="5">
        <v>14.135</v>
      </c>
      <c r="EJ104" s="5">
        <v>21.876666666666672</v>
      </c>
      <c r="EK104" s="5">
        <v>21.591666666666661</v>
      </c>
      <c r="EL104" s="5">
        <v>21.361666666666668</v>
      </c>
      <c r="EM104" s="5">
        <v>21.61666666666666</v>
      </c>
      <c r="EO104">
        <f t="shared" si="39"/>
        <v>65</v>
      </c>
      <c r="EP104" s="5">
        <v>5.7349999999999985</v>
      </c>
      <c r="EQ104" s="5">
        <v>5.4849999999999985</v>
      </c>
      <c r="ER104" s="5">
        <v>5.4250000000000016</v>
      </c>
      <c r="ES104" s="5">
        <v>5.6650000000000009</v>
      </c>
      <c r="ET104" s="5">
        <v>5.6349999999999998</v>
      </c>
      <c r="EU104" s="5">
        <v>5.2949999999999999</v>
      </c>
      <c r="EV104" s="5">
        <v>5.2400000000000011</v>
      </c>
      <c r="EW104" s="5">
        <v>5.5649999999999977</v>
      </c>
    </row>
    <row r="105" spans="8:153">
      <c r="H105" t="s">
        <v>271</v>
      </c>
      <c r="I105" s="100">
        <v>7.5</v>
      </c>
      <c r="J105" s="5">
        <f t="shared" ca="1" si="107"/>
        <v>112.39</v>
      </c>
      <c r="K105" s="5">
        <f t="shared" ca="1" si="108"/>
        <v>570.15</v>
      </c>
      <c r="L105" s="5">
        <f t="shared" ca="1" si="109"/>
        <v>554.13028024431549</v>
      </c>
      <c r="M105" s="5">
        <f t="shared" ca="1" si="110"/>
        <v>297.10084599115555</v>
      </c>
      <c r="O105" s="100">
        <v>7.5</v>
      </c>
      <c r="P105" s="5">
        <f t="shared" ca="1" si="111"/>
        <v>203.65086468550385</v>
      </c>
      <c r="Q105" s="5">
        <f t="shared" ca="1" si="112"/>
        <v>839.25381937248926</v>
      </c>
      <c r="R105" s="5">
        <f t="shared" ca="1" si="113"/>
        <v>696.54457590936067</v>
      </c>
      <c r="S105" s="5">
        <f t="shared" ca="1" si="114"/>
        <v>567.33807628422358</v>
      </c>
      <c r="U105" s="100">
        <v>7.5</v>
      </c>
      <c r="V105" s="5">
        <f t="shared" ca="1" si="115"/>
        <v>0.71203554049344431</v>
      </c>
      <c r="W105" s="5">
        <f t="shared" ca="1" si="116"/>
        <v>19.006835017842011</v>
      </c>
      <c r="X105" s="5">
        <f t="shared" ca="1" si="117"/>
        <v>18.267146590038262</v>
      </c>
      <c r="Y105" s="5">
        <f t="shared" ca="1" si="118"/>
        <v>3.4338115623439291</v>
      </c>
      <c r="AO105">
        <f t="shared" ref="AO105" si="133">AO104+1</f>
        <v>5.5</v>
      </c>
      <c r="AP105" s="5">
        <v>68.69</v>
      </c>
      <c r="AQ105" s="5">
        <v>94.91</v>
      </c>
      <c r="AR105" s="5">
        <v>67.61</v>
      </c>
      <c r="AS105" s="5">
        <v>94.25</v>
      </c>
      <c r="AT105" s="5">
        <v>67.819999999999993</v>
      </c>
      <c r="AU105" s="5">
        <v>91.99</v>
      </c>
      <c r="AV105" s="5">
        <v>66.36</v>
      </c>
      <c r="AW105" s="5">
        <v>91.62</v>
      </c>
      <c r="AX105" s="5">
        <v>69.099999999999994</v>
      </c>
      <c r="AY105" s="5">
        <v>87.69</v>
      </c>
      <c r="AZ105" s="5">
        <v>74.87</v>
      </c>
      <c r="BA105" s="5">
        <v>81.52</v>
      </c>
      <c r="BB105">
        <f t="shared" si="120"/>
        <v>5.5</v>
      </c>
      <c r="BC105" s="5">
        <v>67.599999999999994</v>
      </c>
      <c r="BD105" s="5">
        <v>96.78</v>
      </c>
      <c r="BE105" s="5">
        <v>71.02</v>
      </c>
      <c r="BF105" s="5">
        <v>89.2</v>
      </c>
      <c r="BG105" s="5">
        <v>67.760000000000005</v>
      </c>
      <c r="BH105" s="5">
        <v>91.64</v>
      </c>
      <c r="BI105" s="5">
        <v>67.2</v>
      </c>
      <c r="BJ105" s="5">
        <v>90.42</v>
      </c>
      <c r="BK105" s="5">
        <v>69.61</v>
      </c>
      <c r="BL105" s="5">
        <v>86.57</v>
      </c>
      <c r="BM105" s="5">
        <v>65.72</v>
      </c>
      <c r="BN105" s="5">
        <v>88.99</v>
      </c>
      <c r="BO105">
        <f t="shared" si="121"/>
        <v>5.5</v>
      </c>
      <c r="BP105" s="5">
        <v>67.930000000000007</v>
      </c>
      <c r="BQ105" s="5">
        <v>92.44</v>
      </c>
      <c r="BR105">
        <v>70.7</v>
      </c>
      <c r="BS105">
        <v>88.03</v>
      </c>
      <c r="BT105" s="5">
        <v>69.209999999999994</v>
      </c>
      <c r="BU105" s="5">
        <v>88.81</v>
      </c>
      <c r="BV105" s="5">
        <v>69.209999999999994</v>
      </c>
      <c r="BW105" s="5">
        <v>87.62</v>
      </c>
      <c r="BX105" s="5">
        <v>67.59</v>
      </c>
      <c r="BY105" s="5">
        <v>87.62</v>
      </c>
      <c r="BZ105">
        <f t="shared" si="122"/>
        <v>5.5</v>
      </c>
      <c r="CA105" s="5">
        <v>72.64</v>
      </c>
      <c r="CB105" s="5">
        <v>86</v>
      </c>
      <c r="CC105" s="5">
        <v>71.41</v>
      </c>
      <c r="CD105" s="5">
        <v>86.83</v>
      </c>
      <c r="CE105" s="5">
        <v>74.56</v>
      </c>
      <c r="CF105" s="5">
        <v>82.39</v>
      </c>
      <c r="CG105" s="5">
        <v>69.48</v>
      </c>
      <c r="CH105" s="5">
        <v>87.22</v>
      </c>
      <c r="CI105" s="5">
        <v>70.47</v>
      </c>
      <c r="CJ105" s="5">
        <v>85.08</v>
      </c>
      <c r="CM105" s="13" t="s">
        <v>136</v>
      </c>
      <c r="CN105" s="20">
        <v>45.740110000000001</v>
      </c>
      <c r="CO105" s="20">
        <v>-87.050690000000003</v>
      </c>
      <c r="CP105" s="19">
        <v>0.36499999999999999</v>
      </c>
      <c r="CQ105" s="19">
        <v>0.36400000000000005</v>
      </c>
      <c r="CR105" s="19">
        <v>0.35799999999999998</v>
      </c>
      <c r="CS105" s="19">
        <v>0.48500000000000004</v>
      </c>
      <c r="CT105" s="98">
        <v>270.92777777777781</v>
      </c>
      <c r="CU105" s="98">
        <v>288.70555555555558</v>
      </c>
      <c r="CV105" s="98">
        <v>297.03888888888895</v>
      </c>
      <c r="CW105" s="98">
        <v>278.70555555555558</v>
      </c>
      <c r="CX105" s="104">
        <v>5</v>
      </c>
      <c r="CY105" s="104">
        <v>6</v>
      </c>
      <c r="CZ105" s="104">
        <v>7</v>
      </c>
      <c r="DA105" s="104">
        <v>8</v>
      </c>
      <c r="DB105" s="104">
        <v>2</v>
      </c>
      <c r="DG105">
        <f t="shared" ref="DG105:DG129" si="134">DG104+1</f>
        <v>66</v>
      </c>
      <c r="DH105" s="5">
        <f t="shared" ref="DH105:DH129" ca="1" si="135">OFFSET($DU105,0,$DH$36)</f>
        <v>570.6</v>
      </c>
      <c r="DI105" s="5">
        <f t="shared" ref="DI105:DI129" ca="1" si="136">OFFSET($DU105,0,$DI$36)</f>
        <v>476.61</v>
      </c>
      <c r="DJ105" s="5">
        <f t="shared" ref="DJ105:DJ129" ca="1" si="137">OFFSET($DU105,0,$DJ$36)</f>
        <v>471.52172406713544</v>
      </c>
      <c r="DK105" s="5">
        <f t="shared" ref="DK105:DK129" ca="1" si="138">OFFSET($DU105,0,$DK$36)</f>
        <v>563.71410475361074</v>
      </c>
      <c r="DL105" s="5">
        <f t="shared" ca="1" si="125"/>
        <v>21.148000000000007</v>
      </c>
      <c r="DM105" s="5">
        <f t="shared" ca="1" si="126"/>
        <v>20.85466666666666</v>
      </c>
      <c r="DN105" s="5">
        <f t="shared" ca="1" si="127"/>
        <v>20.632000000000001</v>
      </c>
      <c r="DO105" s="5">
        <f t="shared" ca="1" si="128"/>
        <v>20.897333333333325</v>
      </c>
      <c r="DP105" s="5">
        <f t="shared" ca="1" si="129"/>
        <v>5.26</v>
      </c>
      <c r="DQ105" s="5">
        <f t="shared" ca="1" si="130"/>
        <v>4.952</v>
      </c>
      <c r="DR105" s="5">
        <f t="shared" ca="1" si="131"/>
        <v>4.9000000000000012</v>
      </c>
      <c r="DS105" s="5">
        <f t="shared" ca="1" si="132"/>
        <v>5.1939999999999973</v>
      </c>
      <c r="DU105">
        <f t="shared" ref="DU105:DU129" si="139">DU104+1</f>
        <v>66</v>
      </c>
      <c r="DV105" s="5">
        <v>740.98</v>
      </c>
      <c r="DW105" s="5">
        <v>707.90871556843751</v>
      </c>
      <c r="DX105" s="5">
        <v>700.35428501935667</v>
      </c>
      <c r="DY105" s="5">
        <v>732.03633520481583</v>
      </c>
      <c r="DZ105" s="5">
        <v>570.6</v>
      </c>
      <c r="EA105" s="5">
        <v>476.61</v>
      </c>
      <c r="EB105" s="5">
        <v>471.52172406713544</v>
      </c>
      <c r="EC105" s="5">
        <v>563.71410475361074</v>
      </c>
      <c r="EE105">
        <f t="shared" ref="EE105:EE129" si="140">EE104+1</f>
        <v>66</v>
      </c>
      <c r="EF105" s="5">
        <v>13.911999999999995</v>
      </c>
      <c r="EG105" s="5">
        <v>13.294000000000002</v>
      </c>
      <c r="EH105" s="5">
        <v>13.151333333333334</v>
      </c>
      <c r="EI105" s="5">
        <v>13.746666666666666</v>
      </c>
      <c r="EJ105" s="5">
        <v>21.148000000000007</v>
      </c>
      <c r="EK105" s="5">
        <v>20.85466666666666</v>
      </c>
      <c r="EL105" s="5">
        <v>20.632000000000001</v>
      </c>
      <c r="EM105" s="5">
        <v>20.897333333333325</v>
      </c>
      <c r="EO105">
        <f t="shared" ref="EO105:EO129" si="141">EO104+1</f>
        <v>66</v>
      </c>
      <c r="EP105" s="5">
        <v>5.3619999999999983</v>
      </c>
      <c r="EQ105" s="5">
        <v>5.1279999999999983</v>
      </c>
      <c r="ER105" s="5">
        <v>5.0720000000000018</v>
      </c>
      <c r="ES105" s="5">
        <v>5.2960000000000012</v>
      </c>
      <c r="ET105" s="5">
        <v>5.26</v>
      </c>
      <c r="EU105" s="5">
        <v>4.952</v>
      </c>
      <c r="EV105" s="5">
        <v>4.9000000000000012</v>
      </c>
      <c r="EW105" s="5">
        <v>5.1939999999999973</v>
      </c>
    </row>
    <row r="106" spans="8:153">
      <c r="H106" t="s">
        <v>272</v>
      </c>
      <c r="I106" s="100">
        <v>8.5</v>
      </c>
      <c r="J106" s="5">
        <f t="shared" ca="1" si="107"/>
        <v>379.49</v>
      </c>
      <c r="K106" s="5">
        <f t="shared" ca="1" si="108"/>
        <v>657.24</v>
      </c>
      <c r="L106" s="5">
        <f t="shared" ca="1" si="109"/>
        <v>637.22360519427184</v>
      </c>
      <c r="M106" s="5">
        <f t="shared" ca="1" si="110"/>
        <v>441.7439971951095</v>
      </c>
      <c r="O106" s="100">
        <v>8.5</v>
      </c>
      <c r="P106" s="5">
        <f t="shared" ca="1" si="111"/>
        <v>1068.0119672966616</v>
      </c>
      <c r="Q106" s="5">
        <f t="shared" ca="1" si="112"/>
        <v>1407.0430676997498</v>
      </c>
      <c r="R106" s="5">
        <f t="shared" ca="1" si="113"/>
        <v>1202.1793542224866</v>
      </c>
      <c r="S106" s="5">
        <f t="shared" ca="1" si="114"/>
        <v>1148.1496469705653</v>
      </c>
      <c r="U106" s="100">
        <v>8.5</v>
      </c>
      <c r="V106" s="5">
        <f t="shared" ca="1" si="115"/>
        <v>6.7674934697081692</v>
      </c>
      <c r="W106" s="5">
        <f t="shared" ca="1" si="116"/>
        <v>28.093756199299886</v>
      </c>
      <c r="X106" s="5">
        <f t="shared" ca="1" si="117"/>
        <v>27.258426944515932</v>
      </c>
      <c r="Y106" s="5">
        <f t="shared" ca="1" si="118"/>
        <v>8.4525886577933882</v>
      </c>
      <c r="AO106">
        <f t="shared" ref="AO106" si="142">AO105+1</f>
        <v>6.5</v>
      </c>
      <c r="AP106" s="5">
        <v>75.14</v>
      </c>
      <c r="AQ106" s="5">
        <v>82.1</v>
      </c>
      <c r="AR106" s="5">
        <v>75.11</v>
      </c>
      <c r="AS106" s="5">
        <v>82.16</v>
      </c>
      <c r="AT106" s="5">
        <v>76.260000000000005</v>
      </c>
      <c r="AU106" s="5">
        <v>80.3</v>
      </c>
      <c r="AV106" s="5">
        <v>75.8</v>
      </c>
      <c r="AW106" s="5">
        <v>80.760000000000005</v>
      </c>
      <c r="AX106" s="5">
        <v>78.94</v>
      </c>
      <c r="AY106" s="5">
        <v>77.25</v>
      </c>
      <c r="AZ106" s="5">
        <v>84.79</v>
      </c>
      <c r="BA106" s="5">
        <v>70.91</v>
      </c>
      <c r="BB106">
        <f t="shared" si="120"/>
        <v>6.5</v>
      </c>
      <c r="BC106" s="5">
        <v>74.239999999999995</v>
      </c>
      <c r="BD106" s="5">
        <v>84.05</v>
      </c>
      <c r="BE106" s="5">
        <v>78.14</v>
      </c>
      <c r="BF106" s="5">
        <v>76.72</v>
      </c>
      <c r="BG106" s="5">
        <v>76.38</v>
      </c>
      <c r="BH106" s="5">
        <v>80.13</v>
      </c>
      <c r="BI106" s="5">
        <v>76.739999999999995</v>
      </c>
      <c r="BJ106" s="5">
        <v>82.76</v>
      </c>
      <c r="BK106" s="5">
        <v>79.83</v>
      </c>
      <c r="BL106" s="5">
        <v>76.260000000000005</v>
      </c>
      <c r="BM106" s="5">
        <v>76.59</v>
      </c>
      <c r="BN106" s="5">
        <v>79.38</v>
      </c>
      <c r="BO106">
        <f t="shared" si="121"/>
        <v>6.5</v>
      </c>
      <c r="BP106" s="5">
        <v>75.77</v>
      </c>
      <c r="BQ106" s="5">
        <v>81.150000000000006</v>
      </c>
      <c r="BR106">
        <v>79.05</v>
      </c>
      <c r="BS106">
        <v>76.33</v>
      </c>
      <c r="BT106" s="5">
        <v>78.319999999999993</v>
      </c>
      <c r="BU106" s="5">
        <v>77.680000000000007</v>
      </c>
      <c r="BV106" s="5">
        <v>79.040000000000006</v>
      </c>
      <c r="BW106" s="5">
        <v>77.06</v>
      </c>
      <c r="BX106" s="5">
        <v>78.31</v>
      </c>
      <c r="BY106" s="5">
        <v>77.86</v>
      </c>
      <c r="BZ106">
        <f t="shared" si="122"/>
        <v>6.5</v>
      </c>
      <c r="CA106" s="5">
        <v>80.27</v>
      </c>
      <c r="CB106" s="5">
        <v>73.73</v>
      </c>
      <c r="CC106" s="5">
        <v>79.95</v>
      </c>
      <c r="CD106" s="5">
        <v>75.19</v>
      </c>
      <c r="CE106" s="5">
        <v>83.57</v>
      </c>
      <c r="CF106" s="5">
        <v>70.98</v>
      </c>
      <c r="CG106" s="5">
        <v>79.38</v>
      </c>
      <c r="CH106" s="5">
        <v>76.72</v>
      </c>
      <c r="CI106" s="5">
        <v>81.150000000000006</v>
      </c>
      <c r="CJ106" s="5">
        <v>75.31</v>
      </c>
      <c r="CM106" s="13" t="s">
        <v>137</v>
      </c>
      <c r="CN106" s="20">
        <v>42.963700000000003</v>
      </c>
      <c r="CO106" s="20">
        <v>-85.648629999999997</v>
      </c>
      <c r="CP106" s="19">
        <v>0.49399999999999999</v>
      </c>
      <c r="CQ106" s="19">
        <v>0.41100000000000003</v>
      </c>
      <c r="CR106" s="19">
        <v>0.35000000000000003</v>
      </c>
      <c r="CS106" s="19">
        <v>0.51400000000000001</v>
      </c>
      <c r="CT106" s="98">
        <v>274.26111111111112</v>
      </c>
      <c r="CU106" s="98">
        <v>293.70555555555558</v>
      </c>
      <c r="CV106" s="98">
        <v>300.37222222222226</v>
      </c>
      <c r="CW106" s="98">
        <v>281.48333333333335</v>
      </c>
      <c r="CX106" s="104">
        <v>5</v>
      </c>
      <c r="CY106" s="104">
        <v>6</v>
      </c>
      <c r="CZ106" s="104">
        <v>7</v>
      </c>
      <c r="DA106" s="104">
        <v>8</v>
      </c>
      <c r="DB106" s="104">
        <v>2</v>
      </c>
      <c r="DG106">
        <f t="shared" si="134"/>
        <v>67</v>
      </c>
      <c r="DH106" s="5">
        <f t="shared" ca="1" si="135"/>
        <v>555.38</v>
      </c>
      <c r="DI106" s="5">
        <f t="shared" ca="1" si="136"/>
        <v>462.41</v>
      </c>
      <c r="DJ106" s="5">
        <f t="shared" ca="1" si="137"/>
        <v>457.47332289688444</v>
      </c>
      <c r="DK106" s="5">
        <f t="shared" ca="1" si="138"/>
        <v>548.67777689810782</v>
      </c>
      <c r="DL106" s="5">
        <f t="shared" ca="1" si="125"/>
        <v>20.419333333333341</v>
      </c>
      <c r="DM106" s="5">
        <f t="shared" ca="1" si="126"/>
        <v>20.117666666666658</v>
      </c>
      <c r="DN106" s="5">
        <f t="shared" ca="1" si="127"/>
        <v>19.902333333333335</v>
      </c>
      <c r="DO106" s="5">
        <f t="shared" ca="1" si="128"/>
        <v>20.17799999999999</v>
      </c>
      <c r="DP106" s="5">
        <f t="shared" ca="1" si="129"/>
        <v>4.8849999999999998</v>
      </c>
      <c r="DQ106" s="5">
        <f t="shared" ca="1" si="130"/>
        <v>4.609</v>
      </c>
      <c r="DR106" s="5">
        <f t="shared" ca="1" si="131"/>
        <v>4.5600000000000014</v>
      </c>
      <c r="DS106" s="5">
        <f t="shared" ca="1" si="132"/>
        <v>4.8229999999999968</v>
      </c>
      <c r="DU106">
        <f t="shared" si="139"/>
        <v>67</v>
      </c>
      <c r="DV106" s="5">
        <v>728.15</v>
      </c>
      <c r="DW106" s="5">
        <v>695.65134179216409</v>
      </c>
      <c r="DX106" s="5">
        <v>688.22771550763105</v>
      </c>
      <c r="DY106" s="5">
        <v>719.36119393153206</v>
      </c>
      <c r="DZ106" s="5">
        <v>555.38</v>
      </c>
      <c r="EA106" s="5">
        <v>462.41</v>
      </c>
      <c r="EB106" s="5">
        <v>457.47332289688444</v>
      </c>
      <c r="EC106" s="5">
        <v>548.67777689810782</v>
      </c>
      <c r="EE106">
        <f t="shared" si="140"/>
        <v>67</v>
      </c>
      <c r="EF106" s="5">
        <v>13.518999999999995</v>
      </c>
      <c r="EG106" s="5">
        <v>12.918000000000003</v>
      </c>
      <c r="EH106" s="5">
        <v>12.779333333333334</v>
      </c>
      <c r="EI106" s="5">
        <v>13.358333333333333</v>
      </c>
      <c r="EJ106" s="5">
        <v>20.419333333333341</v>
      </c>
      <c r="EK106" s="5">
        <v>20.117666666666658</v>
      </c>
      <c r="EL106" s="5">
        <v>19.902333333333335</v>
      </c>
      <c r="EM106" s="5">
        <v>20.17799999999999</v>
      </c>
      <c r="EO106">
        <f t="shared" si="141"/>
        <v>67</v>
      </c>
      <c r="EP106" s="5">
        <v>4.9889999999999981</v>
      </c>
      <c r="EQ106" s="5">
        <v>4.7709999999999981</v>
      </c>
      <c r="ER106" s="5">
        <v>4.7190000000000021</v>
      </c>
      <c r="ES106" s="5">
        <v>4.9270000000000014</v>
      </c>
      <c r="ET106" s="5">
        <v>4.8849999999999998</v>
      </c>
      <c r="EU106" s="5">
        <v>4.609</v>
      </c>
      <c r="EV106" s="5">
        <v>4.5600000000000014</v>
      </c>
      <c r="EW106" s="5">
        <v>4.8229999999999968</v>
      </c>
    </row>
    <row r="107" spans="8:153">
      <c r="H107" t="s">
        <v>273</v>
      </c>
      <c r="I107" s="100">
        <v>9.5</v>
      </c>
      <c r="J107" s="5">
        <f t="shared" ca="1" si="107"/>
        <v>539.54</v>
      </c>
      <c r="K107" s="5">
        <f t="shared" ca="1" si="108"/>
        <v>705.09</v>
      </c>
      <c r="L107" s="5">
        <f t="shared" ca="1" si="109"/>
        <v>693.00169378432474</v>
      </c>
      <c r="M107" s="5">
        <f t="shared" ca="1" si="110"/>
        <v>578.00948347037343</v>
      </c>
      <c r="O107" s="100">
        <v>9.5</v>
      </c>
      <c r="P107" s="5">
        <f t="shared" ca="1" si="111"/>
        <v>1954.9819185516153</v>
      </c>
      <c r="Q107" s="5">
        <f t="shared" ca="1" si="112"/>
        <v>1874.655632600623</v>
      </c>
      <c r="R107" s="5">
        <f t="shared" ca="1" si="113"/>
        <v>1656.8880231254923</v>
      </c>
      <c r="S107" s="5">
        <f t="shared" ca="1" si="114"/>
        <v>1855.0735593314012</v>
      </c>
      <c r="U107" s="100">
        <v>9.5</v>
      </c>
      <c r="V107" s="5">
        <f t="shared" ca="1" si="115"/>
        <v>14.620058906391785</v>
      </c>
      <c r="W107" s="5">
        <f t="shared" ca="1" si="116"/>
        <v>35.178042219072971</v>
      </c>
      <c r="X107" s="5">
        <f t="shared" ca="1" si="117"/>
        <v>35.124184628109283</v>
      </c>
      <c r="Y107" s="5">
        <f t="shared" ca="1" si="118"/>
        <v>15.897365373048663</v>
      </c>
      <c r="AO107">
        <f t="shared" ref="AO107" si="143">AO106+1</f>
        <v>7.5</v>
      </c>
      <c r="AP107" s="5">
        <v>80.98</v>
      </c>
      <c r="AQ107" s="5">
        <v>68.87</v>
      </c>
      <c r="AR107" s="5">
        <v>82.09</v>
      </c>
      <c r="AS107" s="5">
        <v>69.489999999999995</v>
      </c>
      <c r="AT107" s="5">
        <v>84.36</v>
      </c>
      <c r="AU107" s="5">
        <v>68.3</v>
      </c>
      <c r="AV107" s="5">
        <v>84.97</v>
      </c>
      <c r="AW107" s="5">
        <v>69.48</v>
      </c>
      <c r="AX107" s="5">
        <v>88.8</v>
      </c>
      <c r="AY107" s="5">
        <v>66.3</v>
      </c>
      <c r="AZ107" s="5">
        <v>95.19</v>
      </c>
      <c r="BA107" s="5">
        <v>59.9</v>
      </c>
      <c r="BB107">
        <f t="shared" si="120"/>
        <v>7.5</v>
      </c>
      <c r="BC107" s="5">
        <v>80.19</v>
      </c>
      <c r="BD107" s="5">
        <v>70.87</v>
      </c>
      <c r="BE107" s="5">
        <v>85.01</v>
      </c>
      <c r="BF107" s="5">
        <v>63.87</v>
      </c>
      <c r="BG107" s="5">
        <v>84.7</v>
      </c>
      <c r="BH107" s="5">
        <v>68.2</v>
      </c>
      <c r="BI107" s="5">
        <v>86.1</v>
      </c>
      <c r="BJ107" s="5">
        <v>68.430000000000007</v>
      </c>
      <c r="BK107" s="5">
        <v>90.15</v>
      </c>
      <c r="BL107" s="5">
        <v>65.819999999999993</v>
      </c>
      <c r="BM107" s="5">
        <v>87.41</v>
      </c>
      <c r="BN107" s="5">
        <v>69.61</v>
      </c>
      <c r="BO107">
        <f t="shared" si="121"/>
        <v>7.5</v>
      </c>
      <c r="BP107" s="5">
        <v>83.18</v>
      </c>
      <c r="BQ107" s="5">
        <v>68.709999999999994</v>
      </c>
      <c r="BR107">
        <v>87.32</v>
      </c>
      <c r="BS107">
        <v>64.209999999999994</v>
      </c>
      <c r="BT107" s="5">
        <v>87.35</v>
      </c>
      <c r="BU107" s="5">
        <v>66.150000000000006</v>
      </c>
      <c r="BV107" s="5">
        <v>88.9</v>
      </c>
      <c r="BW107" s="5">
        <v>66.150000000000006</v>
      </c>
      <c r="BX107" s="5">
        <v>89.06</v>
      </c>
      <c r="BY107" s="5">
        <v>67.87</v>
      </c>
      <c r="BZ107">
        <f t="shared" si="122"/>
        <v>7.5</v>
      </c>
      <c r="CA107" s="5">
        <v>87.88</v>
      </c>
      <c r="CB107" s="5">
        <v>61.21</v>
      </c>
      <c r="CC107" s="5">
        <v>88.51</v>
      </c>
      <c r="CD107" s="5">
        <v>63.26</v>
      </c>
      <c r="CE107" s="5">
        <v>92.94</v>
      </c>
      <c r="CF107" s="5">
        <v>58.88</v>
      </c>
      <c r="CG107" s="5">
        <v>89.33</v>
      </c>
      <c r="CH107" s="5">
        <v>65.87</v>
      </c>
      <c r="CI107" s="5">
        <v>92.05</v>
      </c>
      <c r="CJ107" s="5">
        <v>65.209999999999994</v>
      </c>
      <c r="CM107" s="13" t="s">
        <v>138</v>
      </c>
      <c r="CN107" s="20">
        <v>42.716290000000001</v>
      </c>
      <c r="CO107" s="20">
        <v>-84.518929999999997</v>
      </c>
      <c r="CP107" s="19">
        <v>0.45699999999999996</v>
      </c>
      <c r="CQ107" s="19">
        <v>0.40200000000000002</v>
      </c>
      <c r="CR107" s="19">
        <v>0.34100000000000003</v>
      </c>
      <c r="CS107" s="19">
        <v>0.48299999999999998</v>
      </c>
      <c r="CT107" s="98">
        <v>273.70555555555558</v>
      </c>
      <c r="CU107" s="98">
        <v>293.70555555555558</v>
      </c>
      <c r="CV107" s="98">
        <v>299.81666666666672</v>
      </c>
      <c r="CW107" s="98">
        <v>281.48333333333335</v>
      </c>
      <c r="CX107" s="104">
        <v>5</v>
      </c>
      <c r="CY107" s="104">
        <v>6</v>
      </c>
      <c r="CZ107" s="104">
        <v>7</v>
      </c>
      <c r="DA107" s="104">
        <v>8</v>
      </c>
      <c r="DB107" s="104">
        <v>2</v>
      </c>
      <c r="DG107">
        <f t="shared" si="134"/>
        <v>68</v>
      </c>
      <c r="DH107" s="5">
        <f t="shared" ca="1" si="135"/>
        <v>539.54</v>
      </c>
      <c r="DI107" s="5">
        <f t="shared" ca="1" si="136"/>
        <v>447.58</v>
      </c>
      <c r="DJ107" s="5">
        <f t="shared" ca="1" si="137"/>
        <v>442.80164759020681</v>
      </c>
      <c r="DK107" s="5">
        <f t="shared" ca="1" si="138"/>
        <v>533.02893108791295</v>
      </c>
      <c r="DL107" s="5">
        <f t="shared" ca="1" si="125"/>
        <v>19.690666666666676</v>
      </c>
      <c r="DM107" s="5">
        <f t="shared" ca="1" si="126"/>
        <v>19.380666666666656</v>
      </c>
      <c r="DN107" s="5">
        <f t="shared" ca="1" si="127"/>
        <v>19.172666666666668</v>
      </c>
      <c r="DO107" s="5">
        <f t="shared" ca="1" si="128"/>
        <v>19.458666666666655</v>
      </c>
      <c r="DP107" s="5">
        <f t="shared" ca="1" si="129"/>
        <v>4.51</v>
      </c>
      <c r="DQ107" s="5">
        <f t="shared" ca="1" si="130"/>
        <v>4.266</v>
      </c>
      <c r="DR107" s="5">
        <f t="shared" ca="1" si="131"/>
        <v>4.2200000000000015</v>
      </c>
      <c r="DS107" s="5">
        <f t="shared" ca="1" si="132"/>
        <v>4.4519999999999964</v>
      </c>
      <c r="DU107">
        <f t="shared" si="139"/>
        <v>68</v>
      </c>
      <c r="DV107" s="5">
        <v>714.67</v>
      </c>
      <c r="DW107" s="5">
        <v>682.7729786975292</v>
      </c>
      <c r="DX107" s="5">
        <v>675.48678354987123</v>
      </c>
      <c r="DY107" s="5">
        <v>706.04389818999937</v>
      </c>
      <c r="DZ107" s="5">
        <v>539.54</v>
      </c>
      <c r="EA107" s="5">
        <v>447.58</v>
      </c>
      <c r="EB107" s="5">
        <v>442.80164759020681</v>
      </c>
      <c r="EC107" s="5">
        <v>533.02893108791295</v>
      </c>
      <c r="EE107">
        <f t="shared" si="140"/>
        <v>68</v>
      </c>
      <c r="EF107" s="5">
        <v>13.125999999999994</v>
      </c>
      <c r="EG107" s="5">
        <v>12.542000000000003</v>
      </c>
      <c r="EH107" s="5">
        <v>12.407333333333334</v>
      </c>
      <c r="EI107" s="5">
        <v>12.969999999999999</v>
      </c>
      <c r="EJ107" s="5">
        <v>19.690666666666676</v>
      </c>
      <c r="EK107" s="5">
        <v>19.380666666666656</v>
      </c>
      <c r="EL107" s="5">
        <v>19.172666666666668</v>
      </c>
      <c r="EM107" s="5">
        <v>19.458666666666655</v>
      </c>
      <c r="EO107">
        <f t="shared" si="141"/>
        <v>68</v>
      </c>
      <c r="EP107" s="5">
        <v>4.6159999999999979</v>
      </c>
      <c r="EQ107" s="5">
        <v>4.4139999999999979</v>
      </c>
      <c r="ER107" s="5">
        <v>4.3660000000000023</v>
      </c>
      <c r="ES107" s="5">
        <v>4.5580000000000016</v>
      </c>
      <c r="ET107" s="5">
        <v>4.51</v>
      </c>
      <c r="EU107" s="5">
        <v>4.266</v>
      </c>
      <c r="EV107" s="5">
        <v>4.2200000000000015</v>
      </c>
      <c r="EW107" s="5">
        <v>4.4519999999999964</v>
      </c>
    </row>
    <row r="108" spans="8:153">
      <c r="H108" t="s">
        <v>274</v>
      </c>
      <c r="I108" s="100">
        <v>10.5</v>
      </c>
      <c r="J108" s="5">
        <f t="shared" ca="1" si="107"/>
        <v>624.51</v>
      </c>
      <c r="K108" s="5">
        <f t="shared" ca="1" si="108"/>
        <v>735.2</v>
      </c>
      <c r="L108" s="5">
        <f t="shared" ca="1" si="109"/>
        <v>724.15550736539547</v>
      </c>
      <c r="M108" s="5">
        <f t="shared" ca="1" si="110"/>
        <v>640.23933180270762</v>
      </c>
      <c r="O108" s="100">
        <v>10.5</v>
      </c>
      <c r="P108" s="5">
        <f t="shared" ca="1" si="111"/>
        <v>2614.6071112928976</v>
      </c>
      <c r="Q108" s="5">
        <f t="shared" ca="1" si="112"/>
        <v>2204.8572331871719</v>
      </c>
      <c r="R108" s="5">
        <f t="shared" ca="1" si="113"/>
        <v>1978.6803660333967</v>
      </c>
      <c r="S108" s="5">
        <f t="shared" ca="1" si="114"/>
        <v>2281.7037873355034</v>
      </c>
      <c r="U108" s="100">
        <v>10.5</v>
      </c>
      <c r="V108" s="5">
        <f t="shared" ca="1" si="115"/>
        <v>20.957957089315151</v>
      </c>
      <c r="W108" s="5">
        <f t="shared" ca="1" si="116"/>
        <v>40.245973441402541</v>
      </c>
      <c r="X108" s="5">
        <f t="shared" ca="1" si="117"/>
        <v>40.5773129880209</v>
      </c>
      <c r="Y108" s="5">
        <f t="shared" ca="1" si="118"/>
        <v>20.586572949671648</v>
      </c>
      <c r="AO108">
        <f t="shared" ref="AO108" si="144">AO107+1</f>
        <v>8.5</v>
      </c>
      <c r="AP108" s="5">
        <v>86.78</v>
      </c>
      <c r="AQ108" s="5">
        <v>55.47</v>
      </c>
      <c r="AR108" s="5">
        <v>89.21</v>
      </c>
      <c r="AS108" s="5">
        <v>56.42</v>
      </c>
      <c r="AT108" s="5">
        <v>92.89</v>
      </c>
      <c r="AU108" s="5">
        <v>56.1</v>
      </c>
      <c r="AV108" s="5">
        <v>94.63</v>
      </c>
      <c r="AW108" s="5">
        <v>58.01</v>
      </c>
      <c r="AX108" s="5">
        <v>99.5</v>
      </c>
      <c r="AY108" s="5">
        <v>55.3</v>
      </c>
      <c r="AZ108" s="5">
        <v>107.08</v>
      </c>
      <c r="BA108" s="5">
        <v>49.4</v>
      </c>
      <c r="BB108">
        <f t="shared" si="120"/>
        <v>8.5</v>
      </c>
      <c r="BC108" s="5">
        <v>86.03</v>
      </c>
      <c r="BD108" s="5">
        <v>57.51</v>
      </c>
      <c r="BE108" s="5">
        <v>92.37</v>
      </c>
      <c r="BF108" s="5">
        <v>50.89</v>
      </c>
      <c r="BG108" s="5">
        <v>93.49</v>
      </c>
      <c r="BH108" s="5">
        <v>56.13</v>
      </c>
      <c r="BI108" s="5">
        <v>96.06</v>
      </c>
      <c r="BJ108" s="5">
        <v>57.13</v>
      </c>
      <c r="BK108" s="5">
        <v>101.4</v>
      </c>
      <c r="BL108" s="5">
        <v>55.25</v>
      </c>
      <c r="BM108" s="5">
        <v>98.88</v>
      </c>
      <c r="BN108" s="5">
        <v>59.61</v>
      </c>
      <c r="BO108">
        <f t="shared" si="121"/>
        <v>8.5</v>
      </c>
      <c r="BP108" s="5">
        <v>90.87</v>
      </c>
      <c r="BQ108" s="5">
        <v>55.97</v>
      </c>
      <c r="BR108">
        <v>96.36</v>
      </c>
      <c r="BS108">
        <v>52.05</v>
      </c>
      <c r="BT108" s="5">
        <v>97.1</v>
      </c>
      <c r="BU108" s="5">
        <v>54.53</v>
      </c>
      <c r="BV108" s="5">
        <v>99.59</v>
      </c>
      <c r="BW108" s="5">
        <v>55.19</v>
      </c>
      <c r="BX108" s="5">
        <v>100.6</v>
      </c>
      <c r="BY108" s="5">
        <v>57.78</v>
      </c>
      <c r="BZ108">
        <f t="shared" si="122"/>
        <v>8.5</v>
      </c>
      <c r="CA108" s="5">
        <v>96.37</v>
      </c>
      <c r="CB108" s="5">
        <v>48.63</v>
      </c>
      <c r="CC108" s="5">
        <v>97.96</v>
      </c>
      <c r="CD108" s="5">
        <v>51.28</v>
      </c>
      <c r="CE108" s="5">
        <v>103.72</v>
      </c>
      <c r="CF108" s="5">
        <v>47.8</v>
      </c>
      <c r="CG108" s="5">
        <v>100.16</v>
      </c>
      <c r="CH108" s="5">
        <v>54.91</v>
      </c>
      <c r="CI108" s="5">
        <v>103.98</v>
      </c>
      <c r="CJ108" s="5">
        <v>55.18</v>
      </c>
      <c r="CM108" s="13" t="s">
        <v>139</v>
      </c>
      <c r="CN108" s="20">
        <v>46.544069999999998</v>
      </c>
      <c r="CO108" s="20">
        <v>-87.406599999999997</v>
      </c>
      <c r="CP108" s="19">
        <v>0.48499999999999999</v>
      </c>
      <c r="CQ108" s="19">
        <v>0.44</v>
      </c>
      <c r="CR108" s="19">
        <v>0.43799999999999994</v>
      </c>
      <c r="CS108" s="19">
        <v>0.58899999999999997</v>
      </c>
      <c r="CT108" s="98">
        <v>270.92777777777781</v>
      </c>
      <c r="CU108" s="98">
        <v>288.15000000000003</v>
      </c>
      <c r="CV108" s="98">
        <v>296.48333333333335</v>
      </c>
      <c r="CW108" s="98">
        <v>277.59444444444443</v>
      </c>
      <c r="CX108" s="104">
        <v>5</v>
      </c>
      <c r="CY108" s="104">
        <v>6</v>
      </c>
      <c r="CZ108" s="104">
        <v>7</v>
      </c>
      <c r="DA108" s="104">
        <v>8</v>
      </c>
      <c r="DB108" s="104">
        <v>2</v>
      </c>
      <c r="DG108">
        <f t="shared" si="134"/>
        <v>69</v>
      </c>
      <c r="DH108" s="5">
        <f t="shared" ca="1" si="135"/>
        <v>522.84</v>
      </c>
      <c r="DI108" s="5">
        <f t="shared" ca="1" si="136"/>
        <v>432.09</v>
      </c>
      <c r="DJ108" s="5">
        <f t="shared" ca="1" si="137"/>
        <v>427.47701842632029</v>
      </c>
      <c r="DK108" s="5">
        <f t="shared" ca="1" si="138"/>
        <v>516.53046359862924</v>
      </c>
      <c r="DL108" s="5">
        <f t="shared" ca="1" si="125"/>
        <v>18.96200000000001</v>
      </c>
      <c r="DM108" s="5">
        <f t="shared" ca="1" si="126"/>
        <v>18.643666666666654</v>
      </c>
      <c r="DN108" s="5">
        <f t="shared" ca="1" si="127"/>
        <v>18.443000000000001</v>
      </c>
      <c r="DO108" s="5">
        <f t="shared" ca="1" si="128"/>
        <v>18.73933333333332</v>
      </c>
      <c r="DP108" s="5">
        <f t="shared" ca="1" si="129"/>
        <v>4.1349999999999998</v>
      </c>
      <c r="DQ108" s="5">
        <f t="shared" ca="1" si="130"/>
        <v>3.923</v>
      </c>
      <c r="DR108" s="5">
        <f t="shared" ca="1" si="131"/>
        <v>3.8800000000000017</v>
      </c>
      <c r="DS108" s="5">
        <f t="shared" ca="1" si="132"/>
        <v>4.080999999999996</v>
      </c>
      <c r="DU108">
        <f t="shared" si="139"/>
        <v>69</v>
      </c>
      <c r="DV108" s="5">
        <v>700.3</v>
      </c>
      <c r="DW108" s="5">
        <v>669.04433792083023</v>
      </c>
      <c r="DX108" s="5">
        <v>661.90464762754118</v>
      </c>
      <c r="DY108" s="5">
        <v>691.84734479194117</v>
      </c>
      <c r="DZ108" s="5">
        <v>522.84</v>
      </c>
      <c r="EA108" s="5">
        <v>432.09</v>
      </c>
      <c r="EB108" s="5">
        <v>427.47701842632029</v>
      </c>
      <c r="EC108" s="5">
        <v>516.53046359862924</v>
      </c>
      <c r="EE108">
        <f t="shared" si="140"/>
        <v>69</v>
      </c>
      <c r="EF108" s="5">
        <v>12.732999999999993</v>
      </c>
      <c r="EG108" s="5">
        <v>12.166000000000004</v>
      </c>
      <c r="EH108" s="5">
        <v>12.035333333333334</v>
      </c>
      <c r="EI108" s="5">
        <v>12.581666666666665</v>
      </c>
      <c r="EJ108" s="5">
        <v>18.96200000000001</v>
      </c>
      <c r="EK108" s="5">
        <v>18.643666666666654</v>
      </c>
      <c r="EL108" s="5">
        <v>18.443000000000001</v>
      </c>
      <c r="EM108" s="5">
        <v>18.73933333333332</v>
      </c>
      <c r="EO108">
        <f t="shared" si="141"/>
        <v>69</v>
      </c>
      <c r="EP108" s="5">
        <v>4.2429999999999977</v>
      </c>
      <c r="EQ108" s="5">
        <v>4.0569999999999977</v>
      </c>
      <c r="ER108" s="5">
        <v>4.0130000000000026</v>
      </c>
      <c r="ES108" s="5">
        <v>4.1890000000000018</v>
      </c>
      <c r="ET108" s="5">
        <v>4.1349999999999998</v>
      </c>
      <c r="EU108" s="5">
        <v>3.923</v>
      </c>
      <c r="EV108" s="5">
        <v>3.8800000000000017</v>
      </c>
      <c r="EW108" s="5">
        <v>4.080999999999996</v>
      </c>
    </row>
    <row r="109" spans="8:153">
      <c r="H109" t="s">
        <v>275</v>
      </c>
      <c r="I109" s="100">
        <v>11.5</v>
      </c>
      <c r="J109" s="5">
        <f t="shared" ca="1" si="107"/>
        <v>648.05999999999995</v>
      </c>
      <c r="K109" s="5">
        <f t="shared" ca="1" si="108"/>
        <v>746.82</v>
      </c>
      <c r="L109" s="5">
        <f t="shared" ca="1" si="109"/>
        <v>736.1856875224554</v>
      </c>
      <c r="M109" s="5">
        <f t="shared" ca="1" si="110"/>
        <v>651.02755126276622</v>
      </c>
      <c r="O109" s="100">
        <v>11.5</v>
      </c>
      <c r="P109" s="5">
        <f t="shared" ca="1" si="111"/>
        <v>2893.7494809103323</v>
      </c>
      <c r="Q109" s="5">
        <f t="shared" ca="1" si="112"/>
        <v>2339.7010025000295</v>
      </c>
      <c r="R109" s="5">
        <f t="shared" ca="1" si="113"/>
        <v>2124.7258806340283</v>
      </c>
      <c r="S109" s="5">
        <f t="shared" ca="1" si="114"/>
        <v>2386.8333708720284</v>
      </c>
      <c r="U109" s="100">
        <v>11.5</v>
      </c>
      <c r="V109" s="5">
        <f t="shared" ca="1" si="115"/>
        <v>23.827327199192499</v>
      </c>
      <c r="W109" s="5">
        <f t="shared" ca="1" si="116"/>
        <v>42.300440299275401</v>
      </c>
      <c r="X109" s="5">
        <f t="shared" ca="1" si="117"/>
        <v>43.063023240591285</v>
      </c>
      <c r="Y109" s="5">
        <f t="shared" ca="1" si="118"/>
        <v>21.752064398033845</v>
      </c>
      <c r="AO109">
        <f t="shared" ref="AO109" si="145">AO108+1</f>
        <v>9.5</v>
      </c>
      <c r="AP109" s="5">
        <v>93.37</v>
      </c>
      <c r="AQ109" s="5">
        <v>41.97</v>
      </c>
      <c r="AR109" s="5">
        <v>97.47</v>
      </c>
      <c r="AS109" s="5">
        <v>43.68</v>
      </c>
      <c r="AT109" s="5">
        <v>103.02</v>
      </c>
      <c r="AU109" s="5">
        <v>44.02</v>
      </c>
      <c r="AV109" s="5">
        <v>105.9</v>
      </c>
      <c r="AW109" s="5">
        <v>46.71</v>
      </c>
      <c r="AX109" s="5">
        <v>112.28</v>
      </c>
      <c r="AY109" s="5">
        <v>44.72</v>
      </c>
      <c r="AZ109" s="5">
        <v>122.08</v>
      </c>
      <c r="BA109" s="5">
        <v>39.549999999999997</v>
      </c>
      <c r="BB109">
        <f t="shared" si="120"/>
        <v>9.5</v>
      </c>
      <c r="BC109" s="5">
        <v>92.51</v>
      </c>
      <c r="BD109" s="5">
        <v>44.06</v>
      </c>
      <c r="BE109" s="5">
        <v>101.53</v>
      </c>
      <c r="BF109" s="5">
        <v>38.01</v>
      </c>
      <c r="BG109" s="5">
        <v>103.92</v>
      </c>
      <c r="BH109" s="5">
        <v>44.17</v>
      </c>
      <c r="BI109" s="5">
        <v>107.77</v>
      </c>
      <c r="BJ109" s="5">
        <v>46.09</v>
      </c>
      <c r="BK109" s="5">
        <v>114.79</v>
      </c>
      <c r="BL109" s="5">
        <v>45.5</v>
      </c>
      <c r="BM109" s="5">
        <v>111.96</v>
      </c>
      <c r="BN109" s="5">
        <v>49.96</v>
      </c>
      <c r="BO109">
        <f t="shared" si="121"/>
        <v>9.5</v>
      </c>
      <c r="BP109" s="5">
        <v>99.93</v>
      </c>
      <c r="BQ109" s="5">
        <v>43.35</v>
      </c>
      <c r="BR109">
        <v>107.59</v>
      </c>
      <c r="BS109">
        <v>40.15</v>
      </c>
      <c r="BT109" s="5">
        <v>108.9</v>
      </c>
      <c r="BU109" s="5">
        <v>43.18</v>
      </c>
      <c r="BV109" s="5">
        <v>112.39</v>
      </c>
      <c r="BW109" s="5">
        <v>44.54</v>
      </c>
      <c r="BX109" s="5">
        <v>113.97</v>
      </c>
      <c r="BY109" s="5">
        <v>48.14</v>
      </c>
      <c r="BZ109">
        <f t="shared" si="122"/>
        <v>9.5</v>
      </c>
      <c r="CA109" s="5">
        <v>107.37</v>
      </c>
      <c r="CB109" s="5">
        <v>36.72</v>
      </c>
      <c r="CC109" s="5">
        <v>109.83</v>
      </c>
      <c r="CD109" s="5">
        <v>39.6</v>
      </c>
      <c r="CE109" s="5">
        <v>117.75</v>
      </c>
      <c r="CF109" s="5">
        <v>37.07</v>
      </c>
      <c r="CG109" s="5">
        <v>113.12</v>
      </c>
      <c r="CH109" s="5">
        <v>44.56</v>
      </c>
      <c r="CI109" s="5">
        <v>118.09</v>
      </c>
      <c r="CJ109" s="5">
        <v>45.76</v>
      </c>
      <c r="CM109" s="13" t="s">
        <v>140</v>
      </c>
      <c r="CN109" s="20">
        <v>46.488329999999998</v>
      </c>
      <c r="CO109" s="20">
        <v>-84.336500000000001</v>
      </c>
      <c r="CP109" s="19">
        <v>0.45099999999999996</v>
      </c>
      <c r="CQ109" s="19">
        <v>0.41</v>
      </c>
      <c r="CR109" s="19">
        <v>0.43199999999999994</v>
      </c>
      <c r="CS109" s="19">
        <v>0.60600000000000009</v>
      </c>
      <c r="CT109" s="98">
        <v>269.81666666666666</v>
      </c>
      <c r="CU109" s="98">
        <v>290.37222222222226</v>
      </c>
      <c r="CV109" s="98">
        <v>297.03888888888895</v>
      </c>
      <c r="CW109" s="98">
        <v>277.59444444444443</v>
      </c>
      <c r="CX109" s="104">
        <v>5</v>
      </c>
      <c r="CY109" s="104">
        <v>6</v>
      </c>
      <c r="CZ109" s="104">
        <v>7</v>
      </c>
      <c r="DA109" s="104">
        <v>8</v>
      </c>
      <c r="DB109" s="104">
        <v>2</v>
      </c>
      <c r="DG109">
        <f t="shared" si="134"/>
        <v>70</v>
      </c>
      <c r="DH109" s="5">
        <f t="shared" ca="1" si="135"/>
        <v>505.31</v>
      </c>
      <c r="DI109" s="5">
        <f t="shared" ca="1" si="136"/>
        <v>415.84</v>
      </c>
      <c r="DJ109" s="5">
        <f t="shared" ca="1" si="137"/>
        <v>411.4005030026176</v>
      </c>
      <c r="DK109" s="5">
        <f t="shared" ca="1" si="138"/>
        <v>499.21201239580625</v>
      </c>
      <c r="DL109" s="5">
        <f t="shared" ca="1" si="125"/>
        <v>18.233333333333334</v>
      </c>
      <c r="DM109" s="5">
        <f t="shared" ca="1" si="126"/>
        <v>17.906666666666666</v>
      </c>
      <c r="DN109" s="5">
        <f t="shared" ca="1" si="127"/>
        <v>17.713333333333331</v>
      </c>
      <c r="DO109" s="5">
        <f t="shared" ca="1" si="128"/>
        <v>18.02</v>
      </c>
      <c r="DP109" s="5">
        <f t="shared" ca="1" si="129"/>
        <v>3.76</v>
      </c>
      <c r="DQ109" s="5">
        <f t="shared" ca="1" si="130"/>
        <v>3.58</v>
      </c>
      <c r="DR109" s="5">
        <f t="shared" ca="1" si="131"/>
        <v>3.54</v>
      </c>
      <c r="DS109" s="5">
        <f t="shared" ca="1" si="132"/>
        <v>3.71</v>
      </c>
      <c r="DU109">
        <f t="shared" si="139"/>
        <v>70</v>
      </c>
      <c r="DV109" s="5">
        <v>685.07</v>
      </c>
      <c r="DW109" s="5">
        <v>654.49408050752993</v>
      </c>
      <c r="DX109" s="5">
        <v>647.50966293045792</v>
      </c>
      <c r="DY109" s="5">
        <v>676.80117163589193</v>
      </c>
      <c r="DZ109" s="5">
        <v>505.31</v>
      </c>
      <c r="EA109" s="5">
        <v>415.84</v>
      </c>
      <c r="EB109" s="5">
        <v>411.4005030026176</v>
      </c>
      <c r="EC109" s="5">
        <v>499.21201239580625</v>
      </c>
      <c r="EE109">
        <f t="shared" si="140"/>
        <v>70</v>
      </c>
      <c r="EF109" s="5">
        <v>12.340000000000002</v>
      </c>
      <c r="EG109" s="5">
        <v>11.790000000000001</v>
      </c>
      <c r="EH109" s="5">
        <v>11.663333333333334</v>
      </c>
      <c r="EI109" s="5">
        <v>12.193333333333333</v>
      </c>
      <c r="EJ109" s="5">
        <v>18.233333333333334</v>
      </c>
      <c r="EK109" s="5">
        <v>17.906666666666666</v>
      </c>
      <c r="EL109" s="5">
        <v>17.713333333333331</v>
      </c>
      <c r="EM109" s="5">
        <v>18.02</v>
      </c>
      <c r="EO109">
        <f t="shared" si="141"/>
        <v>70</v>
      </c>
      <c r="EP109" s="5">
        <v>3.87</v>
      </c>
      <c r="EQ109" s="5">
        <v>3.7</v>
      </c>
      <c r="ER109" s="5">
        <v>3.66</v>
      </c>
      <c r="ES109" s="5">
        <v>3.82</v>
      </c>
      <c r="ET109" s="5">
        <v>3.76</v>
      </c>
      <c r="EU109" s="5">
        <v>3.58</v>
      </c>
      <c r="EV109" s="5">
        <v>3.54</v>
      </c>
      <c r="EW109" s="5">
        <v>3.71</v>
      </c>
    </row>
    <row r="110" spans="8:153">
      <c r="H110" t="s">
        <v>276</v>
      </c>
      <c r="I110" s="100">
        <v>12.5</v>
      </c>
      <c r="J110" s="5">
        <f t="shared" ca="1" si="107"/>
        <v>648.05999999999995</v>
      </c>
      <c r="K110" s="5">
        <f t="shared" ca="1" si="108"/>
        <v>738.33</v>
      </c>
      <c r="L110" s="5">
        <f t="shared" ca="1" si="109"/>
        <v>733.35622080788369</v>
      </c>
      <c r="M110" s="5">
        <f t="shared" ca="1" si="110"/>
        <v>616.97352884626264</v>
      </c>
      <c r="O110" s="100">
        <v>12.5</v>
      </c>
      <c r="P110" s="5">
        <f t="shared" ca="1" si="111"/>
        <v>2876.8430957658279</v>
      </c>
      <c r="Q110" s="5">
        <f t="shared" ca="1" si="112"/>
        <v>2254.5557803782344</v>
      </c>
      <c r="R110" s="5">
        <f t="shared" ca="1" si="113"/>
        <v>2085.8134570545062</v>
      </c>
      <c r="S110" s="5">
        <f t="shared" ca="1" si="114"/>
        <v>2153.6576206131062</v>
      </c>
      <c r="U110" s="100">
        <v>12.5</v>
      </c>
      <c r="V110" s="5">
        <f t="shared" ca="1" si="115"/>
        <v>23.616867247057264</v>
      </c>
      <c r="W110" s="5">
        <f t="shared" ca="1" si="116"/>
        <v>40.994175983274452</v>
      </c>
      <c r="X110" s="5">
        <f t="shared" ca="1" si="117"/>
        <v>42.391594173185801</v>
      </c>
      <c r="Y110" s="5">
        <f t="shared" ca="1" si="118"/>
        <v>18.640995554833093</v>
      </c>
      <c r="AO110">
        <f t="shared" ref="AO110" si="146">AO109+1</f>
        <v>10.5</v>
      </c>
      <c r="AP110" s="5">
        <v>102.6</v>
      </c>
      <c r="AQ110" s="5">
        <v>28.61</v>
      </c>
      <c r="AR110" s="5">
        <v>109</v>
      </c>
      <c r="AS110" s="5">
        <v>31.08</v>
      </c>
      <c r="AT110" s="5">
        <v>117.09</v>
      </c>
      <c r="AU110" s="5">
        <v>32.35</v>
      </c>
      <c r="AV110" s="5">
        <v>120.76</v>
      </c>
      <c r="AW110" s="5">
        <v>36.659999999999997</v>
      </c>
      <c r="AX110" s="5">
        <v>129.24</v>
      </c>
      <c r="AY110" s="5">
        <v>35.340000000000003</v>
      </c>
      <c r="AZ110" s="5">
        <v>142.77000000000001</v>
      </c>
      <c r="BA110" s="5">
        <v>31.52</v>
      </c>
      <c r="BB110">
        <f t="shared" si="120"/>
        <v>10.5</v>
      </c>
      <c r="BC110" s="5">
        <v>101.25</v>
      </c>
      <c r="BD110" s="5">
        <v>30.76</v>
      </c>
      <c r="BE110" s="5">
        <v>115.81</v>
      </c>
      <c r="BF110" s="5">
        <v>25.69</v>
      </c>
      <c r="BG110" s="5">
        <v>118.31</v>
      </c>
      <c r="BH110" s="5">
        <v>32.82</v>
      </c>
      <c r="BI110" s="5">
        <v>123.29</v>
      </c>
      <c r="BJ110" s="5">
        <v>35.729999999999997</v>
      </c>
      <c r="BK110" s="5">
        <v>132.25</v>
      </c>
      <c r="BL110" s="5">
        <v>36.36</v>
      </c>
      <c r="BM110" s="5">
        <v>128.08000000000001</v>
      </c>
      <c r="BN110" s="5">
        <v>41.31</v>
      </c>
      <c r="BO110">
        <f t="shared" si="121"/>
        <v>10.5</v>
      </c>
      <c r="BP110" s="5">
        <v>112.68</v>
      </c>
      <c r="BQ110" s="5">
        <v>31.68</v>
      </c>
      <c r="BR110">
        <v>124.1</v>
      </c>
      <c r="BS110">
        <v>29.16</v>
      </c>
      <c r="BT110" s="5">
        <v>125.2</v>
      </c>
      <c r="BU110" s="5">
        <v>32.86</v>
      </c>
      <c r="BV110" s="5">
        <v>129.4</v>
      </c>
      <c r="BW110" s="5">
        <v>35.200000000000003</v>
      </c>
      <c r="BX110" s="5">
        <v>130.72</v>
      </c>
      <c r="BY110" s="5">
        <v>39.6</v>
      </c>
      <c r="BZ110">
        <f t="shared" si="122"/>
        <v>10.5</v>
      </c>
      <c r="CA110" s="5">
        <v>124.99</v>
      </c>
      <c r="CB110" s="5">
        <v>24.92</v>
      </c>
      <c r="CC110" s="5">
        <v>127.3</v>
      </c>
      <c r="CD110" s="5">
        <v>29.05</v>
      </c>
      <c r="CE110" s="5">
        <v>138.6</v>
      </c>
      <c r="CF110" s="5">
        <v>27.87</v>
      </c>
      <c r="CG110" s="5">
        <v>130.33000000000001</v>
      </c>
      <c r="CH110" s="5">
        <v>35.28</v>
      </c>
      <c r="CI110" s="5">
        <v>136.05000000000001</v>
      </c>
      <c r="CJ110" s="5">
        <v>37.74</v>
      </c>
      <c r="CM110" s="13" t="s">
        <v>141</v>
      </c>
      <c r="CN110" s="20">
        <v>46.78172</v>
      </c>
      <c r="CO110" s="20">
        <v>-92.131860000000003</v>
      </c>
      <c r="CP110" s="19">
        <v>0.34299999999999997</v>
      </c>
      <c r="CQ110" s="19">
        <v>0.40899999999999997</v>
      </c>
      <c r="CR110" s="19">
        <v>0.39100000000000001</v>
      </c>
      <c r="CS110" s="19">
        <v>0.47300000000000003</v>
      </c>
      <c r="CT110" s="98">
        <v>268.70555555555558</v>
      </c>
      <c r="CU110" s="98">
        <v>289.81666666666672</v>
      </c>
      <c r="CV110" s="98">
        <v>296.48333333333335</v>
      </c>
      <c r="CW110" s="98">
        <v>275.37222222222221</v>
      </c>
      <c r="CX110" s="104">
        <v>5</v>
      </c>
      <c r="CY110" s="104">
        <v>6</v>
      </c>
      <c r="CZ110" s="104">
        <v>7</v>
      </c>
      <c r="DA110" s="104">
        <v>8</v>
      </c>
      <c r="DB110" s="104">
        <v>2</v>
      </c>
      <c r="DG110">
        <f t="shared" si="134"/>
        <v>71</v>
      </c>
      <c r="DH110" s="5">
        <f t="shared" ca="1" si="135"/>
        <v>486.88</v>
      </c>
      <c r="DI110" s="5">
        <f t="shared" ca="1" si="136"/>
        <v>398.93</v>
      </c>
      <c r="DJ110" s="5">
        <f t="shared" ca="1" si="137"/>
        <v>394.67103372170607</v>
      </c>
      <c r="DK110" s="5">
        <f t="shared" ca="1" si="138"/>
        <v>481.00442222649491</v>
      </c>
      <c r="DL110" s="5">
        <f t="shared" ca="1" si="125"/>
        <v>17.451333333333334</v>
      </c>
      <c r="DM110" s="5">
        <f t="shared" ca="1" si="126"/>
        <v>17.118333333333332</v>
      </c>
      <c r="DN110" s="5">
        <f t="shared" ca="1" si="127"/>
        <v>16.93333333333333</v>
      </c>
      <c r="DO110" s="5">
        <f t="shared" ca="1" si="128"/>
        <v>17.246666666666666</v>
      </c>
      <c r="DP110" s="5">
        <f t="shared" ca="1" si="129"/>
        <v>3.5069999999999997</v>
      </c>
      <c r="DQ110" s="5">
        <f t="shared" ca="1" si="130"/>
        <v>3.3570000000000002</v>
      </c>
      <c r="DR110" s="5">
        <f t="shared" ca="1" si="131"/>
        <v>3.32</v>
      </c>
      <c r="DS110" s="5">
        <f t="shared" ca="1" si="132"/>
        <v>3.4689999999999999</v>
      </c>
      <c r="DU110">
        <f t="shared" si="139"/>
        <v>71</v>
      </c>
      <c r="DV110" s="5">
        <v>668.85</v>
      </c>
      <c r="DW110" s="5">
        <v>638.99800859395589</v>
      </c>
      <c r="DX110" s="5">
        <v>632.17895696941446</v>
      </c>
      <c r="DY110" s="5">
        <v>660.77694782820197</v>
      </c>
      <c r="DZ110" s="5">
        <v>486.88</v>
      </c>
      <c r="EA110" s="5">
        <v>398.93</v>
      </c>
      <c r="EB110" s="5">
        <v>394.67103372170607</v>
      </c>
      <c r="EC110" s="5">
        <v>481.00442222649491</v>
      </c>
      <c r="EE110">
        <f t="shared" si="140"/>
        <v>71</v>
      </c>
      <c r="EF110" s="5">
        <v>11.889000000000001</v>
      </c>
      <c r="EG110" s="5">
        <v>11.358666666666668</v>
      </c>
      <c r="EH110" s="5">
        <v>11.237</v>
      </c>
      <c r="EI110" s="5">
        <v>11.747</v>
      </c>
      <c r="EJ110" s="5">
        <v>17.451333333333334</v>
      </c>
      <c r="EK110" s="5">
        <v>17.118333333333332</v>
      </c>
      <c r="EL110" s="5">
        <v>16.93333333333333</v>
      </c>
      <c r="EM110" s="5">
        <v>17.246666666666666</v>
      </c>
      <c r="EO110">
        <f t="shared" si="141"/>
        <v>71</v>
      </c>
      <c r="EP110" s="5">
        <v>3.6259999999999999</v>
      </c>
      <c r="EQ110" s="5">
        <v>3.4670000000000001</v>
      </c>
      <c r="ER110" s="5">
        <v>3.43</v>
      </c>
      <c r="ES110" s="5">
        <v>3.5789999999999997</v>
      </c>
      <c r="ET110" s="5">
        <v>3.5069999999999997</v>
      </c>
      <c r="EU110" s="5">
        <v>3.3570000000000002</v>
      </c>
      <c r="EV110" s="5">
        <v>3.32</v>
      </c>
      <c r="EW110" s="5">
        <v>3.4689999999999999</v>
      </c>
    </row>
    <row r="111" spans="8:153">
      <c r="H111" t="s">
        <v>277</v>
      </c>
      <c r="I111" s="100">
        <v>13.5</v>
      </c>
      <c r="J111" s="5">
        <f t="shared" ca="1" si="107"/>
        <v>611.98</v>
      </c>
      <c r="K111" s="5">
        <f t="shared" ca="1" si="108"/>
        <v>717.54</v>
      </c>
      <c r="L111" s="5">
        <f t="shared" ca="1" si="109"/>
        <v>713.70824565005375</v>
      </c>
      <c r="M111" s="5">
        <f t="shared" ca="1" si="110"/>
        <v>578.00948347037343</v>
      </c>
      <c r="O111" s="100">
        <v>13.5</v>
      </c>
      <c r="P111" s="5">
        <f t="shared" ca="1" si="111"/>
        <v>2516.6316108145074</v>
      </c>
      <c r="Q111" s="5">
        <f t="shared" ca="1" si="112"/>
        <v>1984.3112928243729</v>
      </c>
      <c r="R111" s="5">
        <f t="shared" ca="1" si="113"/>
        <v>1861.3231858184822</v>
      </c>
      <c r="S111" s="5">
        <f t="shared" ca="1" si="114"/>
        <v>1809.6492677229676</v>
      </c>
      <c r="U111" s="100">
        <v>13.5</v>
      </c>
      <c r="V111" s="5">
        <f t="shared" ca="1" si="115"/>
        <v>20.022704030417227</v>
      </c>
      <c r="W111" s="5">
        <f t="shared" ca="1" si="116"/>
        <v>36.958058600032579</v>
      </c>
      <c r="X111" s="5">
        <f t="shared" ca="1" si="117"/>
        <v>38.593077028038287</v>
      </c>
      <c r="Y111" s="5">
        <f t="shared" ca="1" si="118"/>
        <v>15.409848573975689</v>
      </c>
      <c r="AO111">
        <f t="shared" ref="AO111" si="147">AO110+1</f>
        <v>11.5</v>
      </c>
      <c r="AP111" s="5">
        <v>121.66</v>
      </c>
      <c r="AQ111" s="5">
        <v>16.03</v>
      </c>
      <c r="AR111" s="5">
        <v>130.15</v>
      </c>
      <c r="AS111" s="5">
        <v>19.760000000000002</v>
      </c>
      <c r="AT111" s="5">
        <v>140.61000000000001</v>
      </c>
      <c r="AU111" s="5">
        <v>22.73</v>
      </c>
      <c r="AV111" s="5">
        <v>142.82</v>
      </c>
      <c r="AW111" s="5">
        <v>27.56</v>
      </c>
      <c r="AX111" s="5">
        <v>153.37</v>
      </c>
      <c r="AY111" s="5">
        <v>28.39</v>
      </c>
      <c r="AZ111" s="5">
        <v>171.02</v>
      </c>
      <c r="BA111" s="5">
        <v>27.14</v>
      </c>
      <c r="BB111">
        <f t="shared" si="120"/>
        <v>11.5</v>
      </c>
      <c r="BC111" s="5">
        <v>117.96</v>
      </c>
      <c r="BD111" s="5">
        <v>17.98</v>
      </c>
      <c r="BE111" s="5">
        <v>146.15</v>
      </c>
      <c r="BF111" s="5">
        <v>15.7</v>
      </c>
      <c r="BG111" s="5">
        <v>141.84</v>
      </c>
      <c r="BH111" s="5">
        <v>23.47</v>
      </c>
      <c r="BI111" s="5">
        <v>146.11000000000001</v>
      </c>
      <c r="BJ111" s="5">
        <v>27.67</v>
      </c>
      <c r="BK111" s="5">
        <v>156.08000000000001</v>
      </c>
      <c r="BL111" s="5">
        <v>30.09</v>
      </c>
      <c r="BM111" s="5">
        <v>148.91</v>
      </c>
      <c r="BN111" s="5">
        <v>34.65</v>
      </c>
      <c r="BO111">
        <f t="shared" si="121"/>
        <v>11.5</v>
      </c>
      <c r="BP111" s="5">
        <v>135.5</v>
      </c>
      <c r="BQ111" s="5">
        <v>20.59</v>
      </c>
      <c r="BR111">
        <v>152.52000000000001</v>
      </c>
      <c r="BS111">
        <v>20.87</v>
      </c>
      <c r="BT111" s="5">
        <v>150.44</v>
      </c>
      <c r="BU111" s="5">
        <v>24.93</v>
      </c>
      <c r="BV111" s="5">
        <v>153.62</v>
      </c>
      <c r="BW111" s="5">
        <v>28.22</v>
      </c>
      <c r="BX111" s="5">
        <v>152.61000000000001</v>
      </c>
      <c r="BY111" s="5">
        <v>33.28</v>
      </c>
      <c r="BZ111">
        <f t="shared" si="122"/>
        <v>11.5</v>
      </c>
      <c r="CA111" s="5">
        <v>159.53</v>
      </c>
      <c r="CB111" s="5">
        <v>16.87</v>
      </c>
      <c r="CC111" s="5">
        <v>156.52000000000001</v>
      </c>
      <c r="CD111" s="5">
        <v>21.52</v>
      </c>
      <c r="CE111" s="5">
        <v>170.45</v>
      </c>
      <c r="CF111" s="5">
        <v>22.84</v>
      </c>
      <c r="CG111" s="5">
        <v>154.65</v>
      </c>
      <c r="CH111" s="5">
        <v>28.55</v>
      </c>
      <c r="CI111" s="5">
        <v>159.41</v>
      </c>
      <c r="CJ111" s="5">
        <v>32.29</v>
      </c>
      <c r="CM111" s="17" t="s">
        <v>142</v>
      </c>
      <c r="CN111" s="20">
        <v>44.96969</v>
      </c>
      <c r="CO111" s="20">
        <v>-93.260009999999994</v>
      </c>
      <c r="CP111" s="19">
        <v>0.36</v>
      </c>
      <c r="CQ111" s="19">
        <v>0.41400000000000003</v>
      </c>
      <c r="CR111" s="19">
        <v>0.33</v>
      </c>
      <c r="CS111" s="19">
        <v>0.41200000000000003</v>
      </c>
      <c r="CT111" s="98">
        <v>271.48333333333335</v>
      </c>
      <c r="CU111" s="98">
        <v>293.70555555555558</v>
      </c>
      <c r="CV111" s="98">
        <v>299.81666666666672</v>
      </c>
      <c r="CW111" s="98">
        <v>278.14999999999998</v>
      </c>
      <c r="CX111" s="104">
        <v>5</v>
      </c>
      <c r="CY111" s="104">
        <v>6</v>
      </c>
      <c r="CZ111" s="104">
        <v>7</v>
      </c>
      <c r="DA111" s="104">
        <v>8</v>
      </c>
      <c r="DB111" s="104">
        <v>2</v>
      </c>
      <c r="DG111">
        <f t="shared" si="134"/>
        <v>72</v>
      </c>
      <c r="DH111" s="5">
        <f t="shared" ca="1" si="135"/>
        <v>467.59</v>
      </c>
      <c r="DI111" s="5">
        <f t="shared" ca="1" si="136"/>
        <v>381.17</v>
      </c>
      <c r="DJ111" s="5">
        <f t="shared" ca="1" si="137"/>
        <v>377.10063901863163</v>
      </c>
      <c r="DK111" s="5">
        <f t="shared" ca="1" si="138"/>
        <v>461.94721037809478</v>
      </c>
      <c r="DL111" s="5">
        <f t="shared" ca="1" si="125"/>
        <v>16.669333333333334</v>
      </c>
      <c r="DM111" s="5">
        <f t="shared" ca="1" si="126"/>
        <v>16.329999999999998</v>
      </c>
      <c r="DN111" s="5">
        <f t="shared" ca="1" si="127"/>
        <v>16.153333333333329</v>
      </c>
      <c r="DO111" s="5">
        <f t="shared" ca="1" si="128"/>
        <v>16.473333333333333</v>
      </c>
      <c r="DP111" s="5">
        <f t="shared" ca="1" si="129"/>
        <v>3.2539999999999996</v>
      </c>
      <c r="DQ111" s="5">
        <f t="shared" ca="1" si="130"/>
        <v>3.1340000000000003</v>
      </c>
      <c r="DR111" s="5">
        <f t="shared" ca="1" si="131"/>
        <v>3.0999999999999996</v>
      </c>
      <c r="DS111" s="5">
        <f t="shared" ca="1" si="132"/>
        <v>3.2279999999999998</v>
      </c>
      <c r="DU111">
        <f t="shared" si="139"/>
        <v>72</v>
      </c>
      <c r="DV111" s="5">
        <v>651.64</v>
      </c>
      <c r="DW111" s="5">
        <v>622.55612218010822</v>
      </c>
      <c r="DX111" s="5">
        <v>615.91252974441079</v>
      </c>
      <c r="DY111" s="5">
        <v>643.77467336887116</v>
      </c>
      <c r="DZ111" s="5">
        <v>467.59</v>
      </c>
      <c r="EA111" s="5">
        <v>381.17</v>
      </c>
      <c r="EB111" s="5">
        <v>377.10063901863163</v>
      </c>
      <c r="EC111" s="5">
        <v>461.94721037809478</v>
      </c>
      <c r="EE111">
        <f t="shared" si="140"/>
        <v>72</v>
      </c>
      <c r="EF111" s="5">
        <v>11.438000000000001</v>
      </c>
      <c r="EG111" s="5">
        <v>10.927333333333335</v>
      </c>
      <c r="EH111" s="5">
        <v>10.810666666666666</v>
      </c>
      <c r="EI111" s="5">
        <v>11.300666666666666</v>
      </c>
      <c r="EJ111" s="5">
        <v>16.669333333333334</v>
      </c>
      <c r="EK111" s="5">
        <v>16.329999999999998</v>
      </c>
      <c r="EL111" s="5">
        <v>16.153333333333329</v>
      </c>
      <c r="EM111" s="5">
        <v>16.473333333333333</v>
      </c>
      <c r="EO111">
        <f t="shared" si="141"/>
        <v>72</v>
      </c>
      <c r="EP111" s="5">
        <v>3.3819999999999997</v>
      </c>
      <c r="EQ111" s="5">
        <v>3.234</v>
      </c>
      <c r="ER111" s="5">
        <v>3.2</v>
      </c>
      <c r="ES111" s="5">
        <v>3.3379999999999996</v>
      </c>
      <c r="ET111" s="5">
        <v>3.2539999999999996</v>
      </c>
      <c r="EU111" s="5">
        <v>3.1340000000000003</v>
      </c>
      <c r="EV111" s="5">
        <v>3.0999999999999996</v>
      </c>
      <c r="EW111" s="5">
        <v>3.2279999999999998</v>
      </c>
    </row>
    <row r="112" spans="8:153">
      <c r="H112" t="s">
        <v>278</v>
      </c>
      <c r="I112" s="100">
        <v>14.5</v>
      </c>
      <c r="J112" s="5">
        <f t="shared" ca="1" si="107"/>
        <v>522.84</v>
      </c>
      <c r="K112" s="5">
        <f t="shared" ca="1" si="108"/>
        <v>669.4</v>
      </c>
      <c r="L112" s="5">
        <f t="shared" ca="1" si="109"/>
        <v>673.37350510701629</v>
      </c>
      <c r="M112" s="5">
        <f t="shared" ca="1" si="110"/>
        <v>461.94721037809478</v>
      </c>
      <c r="O112" s="100">
        <v>14.5</v>
      </c>
      <c r="P112" s="5">
        <f t="shared" ca="1" si="111"/>
        <v>1825.1103404624073</v>
      </c>
      <c r="Q112" s="5">
        <f t="shared" ca="1" si="112"/>
        <v>1531.9111371717529</v>
      </c>
      <c r="R112" s="5">
        <f t="shared" ca="1" si="113"/>
        <v>1476.7978300240484</v>
      </c>
      <c r="S112" s="5">
        <f t="shared" ca="1" si="114"/>
        <v>1170.6562668354654</v>
      </c>
      <c r="U112" s="100">
        <v>14.5</v>
      </c>
      <c r="V112" s="5">
        <f t="shared" ca="1" si="115"/>
        <v>13.247483177173791</v>
      </c>
      <c r="W112" s="5">
        <f t="shared" ca="1" si="116"/>
        <v>30.005302179451473</v>
      </c>
      <c r="X112" s="5">
        <f t="shared" ca="1" si="117"/>
        <v>32.010908575073344</v>
      </c>
      <c r="Y112" s="5">
        <f t="shared" ca="1" si="118"/>
        <v>8.9048263484280792</v>
      </c>
      <c r="AO112">
        <f t="shared" ref="AO112" si="148">AO111+1</f>
        <v>12.5</v>
      </c>
      <c r="AP112" s="5">
        <v>184.92</v>
      </c>
      <c r="AQ112" s="5">
        <v>9.11</v>
      </c>
      <c r="AR112" s="5">
        <v>177.35</v>
      </c>
      <c r="AS112" s="5">
        <v>13.67</v>
      </c>
      <c r="AT112" s="5">
        <v>180.51</v>
      </c>
      <c r="AU112" s="5">
        <v>18.5</v>
      </c>
      <c r="AV112" s="5">
        <v>175.24</v>
      </c>
      <c r="AW112" s="5">
        <v>23.41</v>
      </c>
      <c r="AX112" s="5">
        <v>184.66</v>
      </c>
      <c r="AY112" s="5">
        <v>26.24</v>
      </c>
      <c r="AZ112" s="5">
        <v>201.97</v>
      </c>
      <c r="BA112" s="5">
        <v>28.43</v>
      </c>
      <c r="BB112">
        <f t="shared" si="120"/>
        <v>12.5</v>
      </c>
      <c r="BC112" s="5">
        <v>171.26</v>
      </c>
      <c r="BD112" s="5">
        <v>9.52</v>
      </c>
      <c r="BE112" s="5">
        <v>203.52</v>
      </c>
      <c r="BF112" s="5">
        <v>14.45</v>
      </c>
      <c r="BG112" s="5">
        <v>180.25</v>
      </c>
      <c r="BH112" s="5">
        <v>19.420000000000002</v>
      </c>
      <c r="BI112" s="5">
        <v>178.41</v>
      </c>
      <c r="BJ112" s="5">
        <v>24.16</v>
      </c>
      <c r="BK112" s="5">
        <v>185.54</v>
      </c>
      <c r="BL112" s="5">
        <v>28.39</v>
      </c>
      <c r="BM112" s="5">
        <v>174.78</v>
      </c>
      <c r="BN112" s="5">
        <v>31.52</v>
      </c>
      <c r="BO112">
        <f t="shared" si="121"/>
        <v>12.5</v>
      </c>
      <c r="BP112" s="5">
        <v>180.38</v>
      </c>
      <c r="BQ112" s="5">
        <v>15.53</v>
      </c>
      <c r="BR112">
        <v>194.72</v>
      </c>
      <c r="BS112">
        <v>19.54</v>
      </c>
      <c r="BT112" s="5">
        <v>186.18</v>
      </c>
      <c r="BU112" s="5">
        <v>22.51</v>
      </c>
      <c r="BV112" s="5">
        <v>184.98</v>
      </c>
      <c r="BW112" s="5">
        <v>26.24</v>
      </c>
      <c r="BX112" s="5">
        <v>179.47</v>
      </c>
      <c r="BY112" s="5">
        <v>30.52</v>
      </c>
      <c r="BZ112">
        <f t="shared" si="122"/>
        <v>12.5</v>
      </c>
      <c r="CA112" s="5">
        <v>208.66</v>
      </c>
      <c r="CB112" s="5">
        <v>17.95</v>
      </c>
      <c r="CC112" s="5">
        <v>197.01</v>
      </c>
      <c r="CD112" s="5">
        <v>20.81</v>
      </c>
      <c r="CE112" s="5">
        <v>206.43</v>
      </c>
      <c r="CF112" s="5">
        <v>24.59</v>
      </c>
      <c r="CG112" s="5">
        <v>185.72</v>
      </c>
      <c r="CH112" s="5">
        <v>26.61</v>
      </c>
      <c r="CI112" s="5">
        <v>186.86</v>
      </c>
      <c r="CJ112" s="5">
        <v>31.08</v>
      </c>
      <c r="CM112" s="13" t="s">
        <v>143</v>
      </c>
      <c r="CN112" s="20">
        <v>44.010530000000003</v>
      </c>
      <c r="CO112" s="20">
        <v>-92.466759999999994</v>
      </c>
      <c r="CP112" s="19">
        <v>0.40300000000000002</v>
      </c>
      <c r="CQ112" s="19">
        <v>0.44200000000000006</v>
      </c>
      <c r="CR112" s="19">
        <v>0.37599999999999995</v>
      </c>
      <c r="CS112" s="19">
        <v>0.44400000000000006</v>
      </c>
      <c r="CT112" s="98">
        <v>270.92777777777781</v>
      </c>
      <c r="CU112" s="98">
        <v>293.70555555555558</v>
      </c>
      <c r="CV112" s="98">
        <v>299.26111111111112</v>
      </c>
      <c r="CW112" s="98">
        <v>278.70555555555558</v>
      </c>
      <c r="CX112" s="104">
        <v>5</v>
      </c>
      <c r="CY112" s="104">
        <v>6</v>
      </c>
      <c r="CZ112" s="104">
        <v>7</v>
      </c>
      <c r="DA112" s="104">
        <v>8</v>
      </c>
      <c r="DB112" s="104">
        <v>2</v>
      </c>
      <c r="DG112">
        <f t="shared" si="134"/>
        <v>73</v>
      </c>
      <c r="DH112" s="5">
        <f t="shared" ca="1" si="135"/>
        <v>447.14</v>
      </c>
      <c r="DI112" s="5">
        <f t="shared" ca="1" si="136"/>
        <v>362.59</v>
      </c>
      <c r="DJ112" s="5">
        <f t="shared" ca="1" si="137"/>
        <v>358.71899861417643</v>
      </c>
      <c r="DK112" s="5">
        <f t="shared" ca="1" si="138"/>
        <v>441.7439971951095</v>
      </c>
      <c r="DL112" s="5">
        <f t="shared" ca="1" si="125"/>
        <v>15.887333333333334</v>
      </c>
      <c r="DM112" s="5">
        <f t="shared" ca="1" si="126"/>
        <v>15.541666666666664</v>
      </c>
      <c r="DN112" s="5">
        <f t="shared" ca="1" si="127"/>
        <v>15.37333333333333</v>
      </c>
      <c r="DO112" s="5">
        <f t="shared" ca="1" si="128"/>
        <v>15.7</v>
      </c>
      <c r="DP112" s="5">
        <f t="shared" ca="1" si="129"/>
        <v>3.0009999999999994</v>
      </c>
      <c r="DQ112" s="5">
        <f t="shared" ca="1" si="130"/>
        <v>2.9110000000000005</v>
      </c>
      <c r="DR112" s="5">
        <f t="shared" ca="1" si="131"/>
        <v>2.8799999999999994</v>
      </c>
      <c r="DS112" s="5">
        <f t="shared" ca="1" si="132"/>
        <v>2.9869999999999997</v>
      </c>
      <c r="DU112">
        <f t="shared" si="139"/>
        <v>73</v>
      </c>
      <c r="DV112" s="5">
        <v>633.15</v>
      </c>
      <c r="DW112" s="5">
        <v>604.89136449317959</v>
      </c>
      <c r="DX112" s="5">
        <v>598.43628108721646</v>
      </c>
      <c r="DY112" s="5">
        <v>625.50784857206554</v>
      </c>
      <c r="DZ112" s="5">
        <v>447.14</v>
      </c>
      <c r="EA112" s="5">
        <v>362.59</v>
      </c>
      <c r="EB112" s="5">
        <v>358.71899861417643</v>
      </c>
      <c r="EC112" s="5">
        <v>441.7439971951095</v>
      </c>
      <c r="EE112">
        <f t="shared" si="140"/>
        <v>73</v>
      </c>
      <c r="EF112" s="5">
        <v>10.987</v>
      </c>
      <c r="EG112" s="5">
        <v>10.496000000000002</v>
      </c>
      <c r="EH112" s="5">
        <v>10.384333333333332</v>
      </c>
      <c r="EI112" s="5">
        <v>10.854333333333333</v>
      </c>
      <c r="EJ112" s="5">
        <v>15.887333333333334</v>
      </c>
      <c r="EK112" s="5">
        <v>15.541666666666664</v>
      </c>
      <c r="EL112" s="5">
        <v>15.37333333333333</v>
      </c>
      <c r="EM112" s="5">
        <v>15.7</v>
      </c>
      <c r="EO112">
        <f t="shared" si="141"/>
        <v>73</v>
      </c>
      <c r="EP112" s="5">
        <v>3.1379999999999995</v>
      </c>
      <c r="EQ112" s="5">
        <v>3.0009999999999999</v>
      </c>
      <c r="ER112" s="5">
        <v>2.97</v>
      </c>
      <c r="ES112" s="5">
        <v>3.0969999999999995</v>
      </c>
      <c r="ET112" s="5">
        <v>3.0009999999999994</v>
      </c>
      <c r="EU112" s="5">
        <v>2.9110000000000005</v>
      </c>
      <c r="EV112" s="5">
        <v>2.8799999999999994</v>
      </c>
      <c r="EW112" s="5">
        <v>2.9869999999999997</v>
      </c>
    </row>
    <row r="113" spans="8:153">
      <c r="H113" t="s">
        <v>279</v>
      </c>
      <c r="I113" s="100">
        <v>15.5</v>
      </c>
      <c r="J113" s="5">
        <f t="shared" ca="1" si="107"/>
        <v>354.46</v>
      </c>
      <c r="K113" s="5">
        <f t="shared" ca="1" si="108"/>
        <v>597.88</v>
      </c>
      <c r="L113" s="5">
        <f t="shared" ca="1" si="109"/>
        <v>607.96929374326328</v>
      </c>
      <c r="M113" s="5">
        <f t="shared" ca="1" si="110"/>
        <v>238.95115758281781</v>
      </c>
      <c r="O113" s="100">
        <v>15.5</v>
      </c>
      <c r="P113" s="5">
        <f t="shared" ca="1" si="111"/>
        <v>942.94294460596018</v>
      </c>
      <c r="Q113" s="5">
        <f t="shared" ca="1" si="112"/>
        <v>989.33372554956861</v>
      </c>
      <c r="R113" s="5">
        <f t="shared" ca="1" si="113"/>
        <v>989.92783097779386</v>
      </c>
      <c r="S113" s="5">
        <f t="shared" ca="1" si="114"/>
        <v>421.35491598508764</v>
      </c>
      <c r="U113" s="100">
        <v>15.5</v>
      </c>
      <c r="V113" s="5">
        <f t="shared" ca="1" si="115"/>
        <v>5.7162780677266776</v>
      </c>
      <c r="W113" s="5">
        <f t="shared" ca="1" si="116"/>
        <v>21.491844357733317</v>
      </c>
      <c r="X113" s="5">
        <f t="shared" ca="1" si="117"/>
        <v>23.501062936867189</v>
      </c>
      <c r="Y113" s="5">
        <f t="shared" ca="1" si="118"/>
        <v>2.3087427858343399</v>
      </c>
      <c r="AO113">
        <f t="shared" ref="AO113" si="149">AO112+1</f>
        <v>13.5</v>
      </c>
      <c r="AP113" s="5">
        <v>241.43</v>
      </c>
      <c r="AQ113" s="5">
        <v>17.29</v>
      </c>
      <c r="AR113" s="5">
        <v>227.02</v>
      </c>
      <c r="AS113" s="5">
        <v>18.940000000000001</v>
      </c>
      <c r="AT113" s="5">
        <v>220.06</v>
      </c>
      <c r="AU113" s="5">
        <v>22.97</v>
      </c>
      <c r="AV113" s="5">
        <v>209.63</v>
      </c>
      <c r="AW113" s="5">
        <v>25.91</v>
      </c>
      <c r="AX113" s="5">
        <v>214.4</v>
      </c>
      <c r="AY113" s="5">
        <v>29.97</v>
      </c>
      <c r="AZ113" s="5">
        <v>226.97</v>
      </c>
      <c r="BA113" s="5">
        <v>34.65</v>
      </c>
      <c r="BB113">
        <f t="shared" si="120"/>
        <v>13.5</v>
      </c>
      <c r="BC113" s="5">
        <v>236.12</v>
      </c>
      <c r="BD113" s="5">
        <v>15.64</v>
      </c>
      <c r="BE113" s="5">
        <v>239.81</v>
      </c>
      <c r="BF113" s="5">
        <v>23.33</v>
      </c>
      <c r="BG113" s="5">
        <v>218.48</v>
      </c>
      <c r="BH113" s="5">
        <v>23.6</v>
      </c>
      <c r="BI113" s="5">
        <v>211.32</v>
      </c>
      <c r="BJ113" s="5">
        <v>27.12</v>
      </c>
      <c r="BK113" s="5">
        <v>213.45</v>
      </c>
      <c r="BL113" s="5">
        <v>31.92</v>
      </c>
      <c r="BM113" s="5">
        <v>201.75</v>
      </c>
      <c r="BN113" s="5">
        <v>33.119999999999997</v>
      </c>
      <c r="BO113">
        <f t="shared" si="121"/>
        <v>13.5</v>
      </c>
      <c r="BP113" s="5">
        <v>224.91</v>
      </c>
      <c r="BQ113" s="5">
        <v>20.69</v>
      </c>
      <c r="BR113">
        <v>228.44</v>
      </c>
      <c r="BS113">
        <v>26.08</v>
      </c>
      <c r="BT113" s="5">
        <v>219.12</v>
      </c>
      <c r="BU113" s="5">
        <v>27.12</v>
      </c>
      <c r="BV113" s="5">
        <v>214.69</v>
      </c>
      <c r="BW113" s="5">
        <v>30.04</v>
      </c>
      <c r="BX113" s="5">
        <v>206.44</v>
      </c>
      <c r="BY113" s="5">
        <v>33.01</v>
      </c>
      <c r="BZ113">
        <f t="shared" si="122"/>
        <v>13.5</v>
      </c>
      <c r="CA113" s="5">
        <v>239.04</v>
      </c>
      <c r="CB113" s="5">
        <v>26.9</v>
      </c>
      <c r="CC113" s="5">
        <v>228.73</v>
      </c>
      <c r="CD113" s="5">
        <v>27.51</v>
      </c>
      <c r="CE113" s="5">
        <v>232.65</v>
      </c>
      <c r="CF113" s="5">
        <v>32.07</v>
      </c>
      <c r="CG113" s="5">
        <v>214.95</v>
      </c>
      <c r="CH113" s="5">
        <v>30.53</v>
      </c>
      <c r="CI113" s="5">
        <v>212.78</v>
      </c>
      <c r="CJ113" s="5">
        <v>34.549999999999997</v>
      </c>
      <c r="CM113" s="13" t="s">
        <v>144</v>
      </c>
      <c r="CN113" s="20">
        <v>38.950659999999999</v>
      </c>
      <c r="CO113" s="20">
        <v>-92.304860000000005</v>
      </c>
      <c r="CP113" s="19">
        <v>0.34199999999999997</v>
      </c>
      <c r="CQ113" s="19">
        <v>0.36599999999999999</v>
      </c>
      <c r="CR113" s="19">
        <v>0.27200000000000002</v>
      </c>
      <c r="CS113" s="19">
        <v>0.30800000000000005</v>
      </c>
      <c r="CT113" s="98">
        <v>279.81666666666666</v>
      </c>
      <c r="CU113" s="98">
        <v>296.48333333333335</v>
      </c>
      <c r="CV113" s="98">
        <v>303.70555555555558</v>
      </c>
      <c r="CW113" s="98">
        <v>285.37222222222226</v>
      </c>
      <c r="CX113" s="104">
        <v>5</v>
      </c>
      <c r="CY113" s="104">
        <v>6</v>
      </c>
      <c r="CZ113" s="104">
        <v>7</v>
      </c>
      <c r="DA113" s="104">
        <v>8</v>
      </c>
      <c r="DB113" s="104">
        <v>2</v>
      </c>
      <c r="DG113">
        <f t="shared" si="134"/>
        <v>74</v>
      </c>
      <c r="DH113" s="5">
        <f t="shared" ca="1" si="135"/>
        <v>425.74</v>
      </c>
      <c r="DI113" s="5">
        <f t="shared" ca="1" si="136"/>
        <v>343.14</v>
      </c>
      <c r="DJ113" s="5">
        <f t="shared" ca="1" si="137"/>
        <v>339.4766463070369</v>
      </c>
      <c r="DK113" s="5">
        <f t="shared" ca="1" si="138"/>
        <v>420.60224843638667</v>
      </c>
      <c r="DL113" s="5">
        <f t="shared" ca="1" si="125"/>
        <v>15.105333333333334</v>
      </c>
      <c r="DM113" s="5">
        <f t="shared" ca="1" si="126"/>
        <v>14.75333333333333</v>
      </c>
      <c r="DN113" s="5">
        <f t="shared" ca="1" si="127"/>
        <v>14.59333333333333</v>
      </c>
      <c r="DO113" s="5">
        <f t="shared" ca="1" si="128"/>
        <v>14.926666666666666</v>
      </c>
      <c r="DP113" s="5">
        <f t="shared" ca="1" si="129"/>
        <v>2.7479999999999993</v>
      </c>
      <c r="DQ113" s="5">
        <f t="shared" ca="1" si="130"/>
        <v>2.6880000000000006</v>
      </c>
      <c r="DR113" s="5">
        <f t="shared" ca="1" si="131"/>
        <v>2.6599999999999993</v>
      </c>
      <c r="DS113" s="5">
        <f t="shared" ca="1" si="132"/>
        <v>2.7459999999999996</v>
      </c>
      <c r="DU113">
        <f t="shared" si="139"/>
        <v>74</v>
      </c>
      <c r="DV113" s="5">
        <v>613.49</v>
      </c>
      <c r="DW113" s="5">
        <v>586.10882603320022</v>
      </c>
      <c r="DX113" s="5">
        <v>579.85418002716006</v>
      </c>
      <c r="DY113" s="5">
        <v>606.08514573241177</v>
      </c>
      <c r="DZ113" s="5">
        <v>425.74</v>
      </c>
      <c r="EA113" s="5">
        <v>343.14</v>
      </c>
      <c r="EB113" s="5">
        <v>339.4766463070369</v>
      </c>
      <c r="EC113" s="5">
        <v>420.60224843638667</v>
      </c>
      <c r="EE113">
        <f t="shared" si="140"/>
        <v>74</v>
      </c>
      <c r="EF113" s="5">
        <v>10.536</v>
      </c>
      <c r="EG113" s="5">
        <v>10.064666666666669</v>
      </c>
      <c r="EH113" s="5">
        <v>9.9579999999999984</v>
      </c>
      <c r="EI113" s="5">
        <v>10.407999999999999</v>
      </c>
      <c r="EJ113" s="5">
        <v>15.105333333333334</v>
      </c>
      <c r="EK113" s="5">
        <v>14.75333333333333</v>
      </c>
      <c r="EL113" s="5">
        <v>14.59333333333333</v>
      </c>
      <c r="EM113" s="5">
        <v>14.926666666666666</v>
      </c>
      <c r="EO113">
        <f t="shared" si="141"/>
        <v>74</v>
      </c>
      <c r="EP113" s="5">
        <v>2.8939999999999992</v>
      </c>
      <c r="EQ113" s="5">
        <v>2.7679999999999998</v>
      </c>
      <c r="ER113" s="5">
        <v>2.74</v>
      </c>
      <c r="ES113" s="5">
        <v>2.8559999999999994</v>
      </c>
      <c r="ET113" s="5">
        <v>2.7479999999999993</v>
      </c>
      <c r="EU113" s="5">
        <v>2.6880000000000006</v>
      </c>
      <c r="EV113" s="5">
        <v>2.6599999999999993</v>
      </c>
      <c r="EW113" s="5">
        <v>2.7459999999999996</v>
      </c>
    </row>
    <row r="114" spans="8:153">
      <c r="H114" t="s">
        <v>280</v>
      </c>
      <c r="I114" s="100">
        <v>16.5</v>
      </c>
      <c r="J114" s="5">
        <f t="shared" ca="1" si="107"/>
        <v>80.069999999999993</v>
      </c>
      <c r="K114" s="5">
        <f t="shared" ca="1" si="108"/>
        <v>476.61</v>
      </c>
      <c r="L114" s="5">
        <f t="shared" ca="1" si="109"/>
        <v>497.75859723861822</v>
      </c>
      <c r="M114" s="5">
        <f t="shared" ca="1" si="110"/>
        <v>0</v>
      </c>
      <c r="O114" s="100">
        <v>16.5</v>
      </c>
      <c r="P114" s="5">
        <f t="shared" ca="1" si="111"/>
        <v>130.8917153388646</v>
      </c>
      <c r="Q114" s="5">
        <f t="shared" ca="1" si="112"/>
        <v>433.15123215611942</v>
      </c>
      <c r="R114" s="5">
        <f t="shared" ca="1" si="113"/>
        <v>473.89104095639203</v>
      </c>
      <c r="S114" s="5">
        <f t="shared" ca="1" si="114"/>
        <v>0</v>
      </c>
      <c r="U114" s="100">
        <v>16.5</v>
      </c>
      <c r="V114" s="5">
        <f t="shared" ca="1" si="115"/>
        <v>0.35284239801733297</v>
      </c>
      <c r="W114" s="5">
        <f t="shared" ca="1" si="116"/>
        <v>12.162497075027737</v>
      </c>
      <c r="X114" s="5">
        <f t="shared" ca="1" si="117"/>
        <v>13.951652128789945</v>
      </c>
      <c r="Y114" s="5">
        <f t="shared" ca="1" si="118"/>
        <v>0</v>
      </c>
      <c r="AO114">
        <f t="shared" ref="AO114" si="150">AO113+1</f>
        <v>14.5</v>
      </c>
      <c r="AP114" s="5">
        <v>258.56</v>
      </c>
      <c r="AQ114" s="5">
        <v>30.04</v>
      </c>
      <c r="AR114" s="5">
        <v>249.62</v>
      </c>
      <c r="AS114" s="5">
        <v>30.01</v>
      </c>
      <c r="AT114" s="5">
        <v>243.24</v>
      </c>
      <c r="AU114" s="5">
        <v>32.619999999999997</v>
      </c>
      <c r="AV114" s="5">
        <v>234.29</v>
      </c>
      <c r="AW114" s="5">
        <v>33.659999999999997</v>
      </c>
      <c r="AX114" s="5">
        <v>236.17</v>
      </c>
      <c r="AY114" s="5">
        <v>37.840000000000003</v>
      </c>
      <c r="AZ114" s="5">
        <v>244.83</v>
      </c>
      <c r="BA114" s="5">
        <v>43.68</v>
      </c>
      <c r="BB114">
        <f t="shared" si="120"/>
        <v>14.5</v>
      </c>
      <c r="BC114" s="5">
        <v>256.33</v>
      </c>
      <c r="BD114" s="5">
        <v>28.03</v>
      </c>
      <c r="BE114" s="5">
        <v>256.04000000000002</v>
      </c>
      <c r="BF114" s="5">
        <v>35.42</v>
      </c>
      <c r="BG114" s="5">
        <v>241.82</v>
      </c>
      <c r="BH114" s="5">
        <v>33.01</v>
      </c>
      <c r="BI114" s="5">
        <v>234.97</v>
      </c>
      <c r="BJ114" s="5">
        <v>34.99</v>
      </c>
      <c r="BK114" s="5">
        <v>234.72</v>
      </c>
      <c r="BL114" s="5">
        <v>39.299999999999997</v>
      </c>
      <c r="BM114" s="5">
        <v>224.62</v>
      </c>
      <c r="BN114" s="5">
        <v>38.5</v>
      </c>
      <c r="BO114">
        <f t="shared" si="121"/>
        <v>14.5</v>
      </c>
      <c r="BP114" s="5">
        <v>247.47</v>
      </c>
      <c r="BQ114" s="5">
        <v>31.35</v>
      </c>
      <c r="BR114">
        <v>247.83</v>
      </c>
      <c r="BS114">
        <v>36.39</v>
      </c>
      <c r="BT114" s="5">
        <v>240.82</v>
      </c>
      <c r="BU114" s="5">
        <v>36.08</v>
      </c>
      <c r="BV114" s="5">
        <v>236.38</v>
      </c>
      <c r="BW114" s="5">
        <v>37.96</v>
      </c>
      <c r="BX114" s="5">
        <v>228.52</v>
      </c>
      <c r="BY114" s="5">
        <v>39.33</v>
      </c>
      <c r="BZ114">
        <f t="shared" si="122"/>
        <v>14.5</v>
      </c>
      <c r="CA114" s="5">
        <v>254.89</v>
      </c>
      <c r="CB114" s="5">
        <v>38.590000000000003</v>
      </c>
      <c r="CC114" s="5">
        <v>247.66</v>
      </c>
      <c r="CD114" s="5">
        <v>37.71</v>
      </c>
      <c r="CE114" s="5">
        <v>249.58</v>
      </c>
      <c r="CF114" s="5">
        <v>42.31</v>
      </c>
      <c r="CG114" s="5">
        <v>236.41</v>
      </c>
      <c r="CH114" s="5">
        <v>38.39</v>
      </c>
      <c r="CI114" s="5">
        <v>233.35</v>
      </c>
      <c r="CJ114" s="5">
        <v>41.47</v>
      </c>
      <c r="CM114" s="13" t="s">
        <v>145</v>
      </c>
      <c r="CN114" s="20">
        <v>39.083060000000003</v>
      </c>
      <c r="CO114" s="20">
        <v>-94.578509999999994</v>
      </c>
      <c r="CP114" s="19">
        <v>0.30699999999999994</v>
      </c>
      <c r="CQ114" s="19">
        <v>0.34900000000000009</v>
      </c>
      <c r="CR114" s="19">
        <v>0.247</v>
      </c>
      <c r="CS114" s="19">
        <v>0.27900000000000003</v>
      </c>
      <c r="CT114" s="98">
        <v>280.37222222222221</v>
      </c>
      <c r="CU114" s="98">
        <v>297.59444444444449</v>
      </c>
      <c r="CV114" s="98">
        <v>304.81666666666672</v>
      </c>
      <c r="CW114" s="98">
        <v>285.37222222222226</v>
      </c>
      <c r="CX114" s="104">
        <v>5</v>
      </c>
      <c r="CY114" s="104">
        <v>6</v>
      </c>
      <c r="CZ114" s="104">
        <v>7</v>
      </c>
      <c r="DA114" s="104">
        <v>8</v>
      </c>
      <c r="DB114" s="104">
        <v>2</v>
      </c>
      <c r="DG114">
        <f t="shared" si="134"/>
        <v>75</v>
      </c>
      <c r="DH114" s="5">
        <f t="shared" ca="1" si="135"/>
        <v>403.2</v>
      </c>
      <c r="DI114" s="5">
        <f t="shared" ca="1" si="136"/>
        <v>322.86</v>
      </c>
      <c r="DJ114" s="5">
        <f t="shared" ca="1" si="137"/>
        <v>319.41315505825588</v>
      </c>
      <c r="DK114" s="5">
        <f t="shared" ca="1" si="138"/>
        <v>398.3342569867786</v>
      </c>
      <c r="DL114" s="5">
        <f t="shared" ca="1" si="125"/>
        <v>14.323333333333334</v>
      </c>
      <c r="DM114" s="5">
        <f t="shared" ca="1" si="126"/>
        <v>13.964999999999996</v>
      </c>
      <c r="DN114" s="5">
        <f t="shared" ca="1" si="127"/>
        <v>13.813333333333331</v>
      </c>
      <c r="DO114" s="5">
        <f t="shared" ca="1" si="128"/>
        <v>14.153333333333332</v>
      </c>
      <c r="DP114" s="5">
        <f t="shared" ca="1" si="129"/>
        <v>2.4949999999999992</v>
      </c>
      <c r="DQ114" s="5">
        <f t="shared" ca="1" si="130"/>
        <v>2.4650000000000007</v>
      </c>
      <c r="DR114" s="5">
        <f t="shared" ca="1" si="131"/>
        <v>2.4399999999999991</v>
      </c>
      <c r="DS114" s="5">
        <f t="shared" ca="1" si="132"/>
        <v>2.5049999999999994</v>
      </c>
      <c r="DU114">
        <f t="shared" si="139"/>
        <v>75</v>
      </c>
      <c r="DV114" s="5">
        <v>592.41999999999996</v>
      </c>
      <c r="DW114" s="5">
        <v>565.97921843646759</v>
      </c>
      <c r="DX114" s="5">
        <v>559.9393850457061</v>
      </c>
      <c r="DY114" s="5">
        <v>585.26946166163327</v>
      </c>
      <c r="DZ114" s="5">
        <v>403.2</v>
      </c>
      <c r="EA114" s="5">
        <v>322.86</v>
      </c>
      <c r="EB114" s="5">
        <v>319.41315505825588</v>
      </c>
      <c r="EC114" s="5">
        <v>398.3342569867786</v>
      </c>
      <c r="EE114">
        <f t="shared" si="140"/>
        <v>75</v>
      </c>
      <c r="EF114" s="5">
        <v>10.084999999999999</v>
      </c>
      <c r="EG114" s="5">
        <v>9.6333333333333364</v>
      </c>
      <c r="EH114" s="5">
        <v>9.5316666666666645</v>
      </c>
      <c r="EI114" s="5">
        <v>9.961666666666666</v>
      </c>
      <c r="EJ114" s="5">
        <v>14.323333333333334</v>
      </c>
      <c r="EK114" s="5">
        <v>13.964999999999996</v>
      </c>
      <c r="EL114" s="5">
        <v>13.813333333333331</v>
      </c>
      <c r="EM114" s="5">
        <v>14.153333333333332</v>
      </c>
      <c r="EO114">
        <f t="shared" si="141"/>
        <v>75</v>
      </c>
      <c r="EP114" s="5">
        <v>2.649999999999999</v>
      </c>
      <c r="EQ114" s="5">
        <v>2.5349999999999997</v>
      </c>
      <c r="ER114" s="5">
        <v>2.5100000000000002</v>
      </c>
      <c r="ES114" s="5">
        <v>2.6149999999999993</v>
      </c>
      <c r="ET114" s="5">
        <v>2.4949999999999992</v>
      </c>
      <c r="EU114" s="5">
        <v>2.4650000000000007</v>
      </c>
      <c r="EV114" s="5">
        <v>2.4399999999999991</v>
      </c>
      <c r="EW114" s="5">
        <v>2.5049999999999994</v>
      </c>
    </row>
    <row r="115" spans="8:153">
      <c r="H115" t="s">
        <v>281</v>
      </c>
      <c r="I115" s="100">
        <v>17.5</v>
      </c>
      <c r="J115" s="5">
        <f t="shared" ca="1" si="107"/>
        <v>0</v>
      </c>
      <c r="K115" s="5">
        <f t="shared" ca="1" si="108"/>
        <v>279.43</v>
      </c>
      <c r="L115" s="5">
        <f t="shared" ca="1" si="109"/>
        <v>319.41315505825588</v>
      </c>
      <c r="M115" s="5">
        <f t="shared" ca="1" si="110"/>
        <v>0</v>
      </c>
      <c r="O115" s="100">
        <v>17.5</v>
      </c>
      <c r="P115" s="5">
        <f t="shared" ca="1" si="111"/>
        <v>0</v>
      </c>
      <c r="Q115" s="5">
        <f t="shared" ca="1" si="112"/>
        <v>5.6153644358330738E-14</v>
      </c>
      <c r="R115" s="5">
        <f t="shared" ca="1" si="113"/>
        <v>5.9248025924121971E-14</v>
      </c>
      <c r="S115" s="5">
        <f t="shared" ca="1" si="114"/>
        <v>0</v>
      </c>
      <c r="U115" s="100">
        <v>17.5</v>
      </c>
      <c r="V115" s="5">
        <f t="shared" ca="1" si="115"/>
        <v>0</v>
      </c>
      <c r="W115" s="5">
        <f t="shared" ca="1" si="116"/>
        <v>3.9802318477165688</v>
      </c>
      <c r="X115" s="5">
        <f t="shared" ca="1" si="117"/>
        <v>5.2249799602101561</v>
      </c>
      <c r="Y115" s="5">
        <f t="shared" ca="1" si="118"/>
        <v>0</v>
      </c>
      <c r="AO115">
        <f t="shared" ref="AO115" si="151">AO114+1</f>
        <v>15.5</v>
      </c>
      <c r="AP115" s="5">
        <v>267.33</v>
      </c>
      <c r="AQ115" s="5">
        <v>43.46</v>
      </c>
      <c r="AR115" s="5">
        <v>261.61</v>
      </c>
      <c r="AS115" s="5">
        <v>42.66</v>
      </c>
      <c r="AT115" s="5">
        <v>257.16000000000003</v>
      </c>
      <c r="AU115" s="5">
        <v>44.17</v>
      </c>
      <c r="AV115" s="5">
        <v>250.59</v>
      </c>
      <c r="AW115" s="5">
        <v>43.89</v>
      </c>
      <c r="AX115" s="5">
        <v>251.63</v>
      </c>
      <c r="AY115" s="5">
        <v>47.75</v>
      </c>
      <c r="AZ115" s="5">
        <v>258.22000000000003</v>
      </c>
      <c r="BA115" s="5">
        <v>53.98</v>
      </c>
      <c r="BB115">
        <f t="shared" si="120"/>
        <v>15.5</v>
      </c>
      <c r="BC115" s="5">
        <v>265.93</v>
      </c>
      <c r="BD115" s="5">
        <v>41.42</v>
      </c>
      <c r="BE115" s="5">
        <v>265.85000000000002</v>
      </c>
      <c r="BF115" s="5">
        <v>48.25</v>
      </c>
      <c r="BG115" s="5">
        <v>256.14</v>
      </c>
      <c r="BH115" s="5">
        <v>44.34</v>
      </c>
      <c r="BI115" s="5">
        <v>250.95</v>
      </c>
      <c r="BJ115" s="5">
        <v>45.11</v>
      </c>
      <c r="BK115" s="5">
        <v>250.39</v>
      </c>
      <c r="BL115" s="5">
        <v>48.85</v>
      </c>
      <c r="BM115" s="5">
        <v>242.32</v>
      </c>
      <c r="BN115" s="5">
        <v>46.83</v>
      </c>
      <c r="BO115">
        <f t="shared" si="121"/>
        <v>15.5</v>
      </c>
      <c r="BP115" s="5">
        <v>260.12</v>
      </c>
      <c r="BQ115" s="5">
        <v>43.57</v>
      </c>
      <c r="BR115">
        <v>260.27999999999997</v>
      </c>
      <c r="BS115">
        <v>48.12</v>
      </c>
      <c r="BT115" s="5">
        <v>255.24</v>
      </c>
      <c r="BU115" s="5">
        <v>46.97</v>
      </c>
      <c r="BV115" s="5">
        <v>251.78</v>
      </c>
      <c r="BW115" s="5">
        <v>47.86</v>
      </c>
      <c r="BX115" s="5">
        <v>245.41</v>
      </c>
      <c r="BY115" s="5">
        <v>47.86</v>
      </c>
      <c r="BZ115">
        <f t="shared" si="122"/>
        <v>15.5</v>
      </c>
      <c r="CA115" s="5">
        <v>265.22000000000003</v>
      </c>
      <c r="CB115" s="5">
        <v>50.94</v>
      </c>
      <c r="CC115" s="5">
        <v>260.17</v>
      </c>
      <c r="CD115" s="5">
        <v>49.29</v>
      </c>
      <c r="CE115" s="5">
        <v>261.7</v>
      </c>
      <c r="CF115" s="5">
        <v>53.54</v>
      </c>
      <c r="CG115" s="5">
        <v>251.78</v>
      </c>
      <c r="CH115" s="5">
        <v>48.25</v>
      </c>
      <c r="CI115" s="5">
        <v>249.16</v>
      </c>
      <c r="CJ115" s="5">
        <v>50.42</v>
      </c>
      <c r="CM115" s="13" t="s">
        <v>146</v>
      </c>
      <c r="CN115" s="20">
        <v>37.170340000000003</v>
      </c>
      <c r="CO115" s="20">
        <v>-93.327579999999998</v>
      </c>
      <c r="CP115" s="19">
        <v>0.30599999999999994</v>
      </c>
      <c r="CQ115" s="19">
        <v>0.30100000000000005</v>
      </c>
      <c r="CR115" s="19">
        <v>0.22099999999999997</v>
      </c>
      <c r="CS115" s="19">
        <v>0.26700000000000002</v>
      </c>
      <c r="CT115" s="98">
        <v>282.03888888888889</v>
      </c>
      <c r="CU115" s="98">
        <v>297.03888888888895</v>
      </c>
      <c r="CV115" s="98">
        <v>304.81666666666672</v>
      </c>
      <c r="CW115" s="98">
        <v>287.03888888888895</v>
      </c>
      <c r="CX115" s="104">
        <v>5</v>
      </c>
      <c r="CY115" s="104">
        <v>6</v>
      </c>
      <c r="CZ115" s="104">
        <v>7</v>
      </c>
      <c r="DA115" s="104">
        <v>8</v>
      </c>
      <c r="DB115" s="104">
        <v>2</v>
      </c>
      <c r="DG115">
        <f t="shared" si="134"/>
        <v>76</v>
      </c>
      <c r="DH115" s="5">
        <f t="shared" ca="1" si="135"/>
        <v>379.49</v>
      </c>
      <c r="DI115" s="5">
        <f t="shared" ca="1" si="136"/>
        <v>301.63</v>
      </c>
      <c r="DJ115" s="5">
        <f t="shared" ca="1" si="137"/>
        <v>298.40980598470458</v>
      </c>
      <c r="DK115" s="5">
        <f t="shared" ca="1" si="138"/>
        <v>374.91038488073565</v>
      </c>
      <c r="DL115" s="5">
        <f t="shared" ca="1" si="125"/>
        <v>13.541333333333334</v>
      </c>
      <c r="DM115" s="5">
        <f t="shared" ca="1" si="126"/>
        <v>13.176666666666662</v>
      </c>
      <c r="DN115" s="5">
        <f t="shared" ca="1" si="127"/>
        <v>13.033333333333331</v>
      </c>
      <c r="DO115" s="5">
        <f t="shared" ca="1" si="128"/>
        <v>13.379999999999999</v>
      </c>
      <c r="DP115" s="5">
        <f t="shared" ca="1" si="129"/>
        <v>2.2419999999999991</v>
      </c>
      <c r="DQ115" s="5">
        <f t="shared" ca="1" si="130"/>
        <v>2.2420000000000009</v>
      </c>
      <c r="DR115" s="5">
        <f t="shared" ca="1" si="131"/>
        <v>2.2199999999999989</v>
      </c>
      <c r="DS115" s="5">
        <f t="shared" ca="1" si="132"/>
        <v>2.2639999999999993</v>
      </c>
      <c r="DU115">
        <f t="shared" si="139"/>
        <v>76</v>
      </c>
      <c r="DV115" s="5">
        <v>569.84</v>
      </c>
      <c r="DW115" s="5">
        <v>544.40700488477216</v>
      </c>
      <c r="DX115" s="5">
        <v>538.59737884346441</v>
      </c>
      <c r="DY115" s="5">
        <v>562.96200336461482</v>
      </c>
      <c r="DZ115" s="5">
        <v>379.49</v>
      </c>
      <c r="EA115" s="5">
        <v>301.63</v>
      </c>
      <c r="EB115" s="5">
        <v>298.40980598470458</v>
      </c>
      <c r="EC115" s="5">
        <v>374.91038488073565</v>
      </c>
      <c r="EE115">
        <f t="shared" si="140"/>
        <v>76</v>
      </c>
      <c r="EF115" s="5">
        <v>9.6339999999999986</v>
      </c>
      <c r="EG115" s="5">
        <v>9.2020000000000035</v>
      </c>
      <c r="EH115" s="5">
        <v>9.1053333333333306</v>
      </c>
      <c r="EI115" s="5">
        <v>9.5153333333333325</v>
      </c>
      <c r="EJ115" s="5">
        <v>13.541333333333334</v>
      </c>
      <c r="EK115" s="5">
        <v>13.176666666666662</v>
      </c>
      <c r="EL115" s="5">
        <v>13.033333333333331</v>
      </c>
      <c r="EM115" s="5">
        <v>13.379999999999999</v>
      </c>
      <c r="EO115">
        <f t="shared" si="141"/>
        <v>76</v>
      </c>
      <c r="EP115" s="5">
        <v>2.4059999999999988</v>
      </c>
      <c r="EQ115" s="5">
        <v>2.3019999999999996</v>
      </c>
      <c r="ER115" s="5">
        <v>2.2800000000000002</v>
      </c>
      <c r="ES115" s="5">
        <v>2.3739999999999992</v>
      </c>
      <c r="ET115" s="5">
        <v>2.2419999999999991</v>
      </c>
      <c r="EU115" s="5">
        <v>2.2420000000000009</v>
      </c>
      <c r="EV115" s="5">
        <v>2.2199999999999989</v>
      </c>
      <c r="EW115" s="5">
        <v>2.2639999999999993</v>
      </c>
    </row>
    <row r="116" spans="8:153">
      <c r="H116" t="s">
        <v>282</v>
      </c>
      <c r="I116" s="100">
        <v>18.5</v>
      </c>
      <c r="J116" s="5">
        <f t="shared" ca="1" si="107"/>
        <v>0</v>
      </c>
      <c r="K116" s="5">
        <f t="shared" ca="1" si="108"/>
        <v>30.99</v>
      </c>
      <c r="L116" s="5">
        <f t="shared" ca="1" si="109"/>
        <v>52.157162654621978</v>
      </c>
      <c r="M116" s="5">
        <f t="shared" ca="1" si="110"/>
        <v>0</v>
      </c>
      <c r="O116" s="100">
        <v>18.5</v>
      </c>
      <c r="P116" s="5">
        <f t="shared" ca="1" si="111"/>
        <v>0</v>
      </c>
      <c r="Q116" s="5">
        <f t="shared" ca="1" si="112"/>
        <v>6.2276829211776444E-15</v>
      </c>
      <c r="R116" s="5">
        <f t="shared" ca="1" si="113"/>
        <v>9.6746451301483954E-15</v>
      </c>
      <c r="S116" s="5">
        <f t="shared" ca="1" si="114"/>
        <v>0</v>
      </c>
      <c r="U116" s="100">
        <v>18.5</v>
      </c>
      <c r="V116" s="5">
        <f t="shared" ca="1" si="115"/>
        <v>0</v>
      </c>
      <c r="W116" s="5">
        <f t="shared" ca="1" si="116"/>
        <v>8.6541045776160785E-2</v>
      </c>
      <c r="X116" s="5">
        <f t="shared" ca="1" si="117"/>
        <v>0.2349751168760934</v>
      </c>
      <c r="Y116" s="5">
        <f t="shared" ca="1" si="118"/>
        <v>0</v>
      </c>
      <c r="AO116">
        <f t="shared" ref="AO116" si="152">AO115+1</f>
        <v>16.5</v>
      </c>
      <c r="AP116" s="5">
        <v>273.76</v>
      </c>
      <c r="AQ116" s="5">
        <v>56.96</v>
      </c>
      <c r="AR116" s="5">
        <v>270.02999999999997</v>
      </c>
      <c r="AS116" s="5">
        <v>55.52</v>
      </c>
      <c r="AT116" s="5">
        <v>267.22000000000003</v>
      </c>
      <c r="AU116" s="5">
        <v>56.23</v>
      </c>
      <c r="AV116" s="5">
        <v>262.54000000000002</v>
      </c>
      <c r="AW116" s="5">
        <v>55.09</v>
      </c>
      <c r="AX116" s="5">
        <v>263.63</v>
      </c>
      <c r="AY116" s="5">
        <v>58.34</v>
      </c>
      <c r="AZ116" s="5">
        <v>269.3</v>
      </c>
      <c r="BA116" s="5">
        <v>64.760000000000005</v>
      </c>
      <c r="BB116">
        <f t="shared" si="120"/>
        <v>16.5</v>
      </c>
      <c r="BC116" s="5">
        <v>272.67</v>
      </c>
      <c r="BD116" s="5">
        <v>54.83</v>
      </c>
      <c r="BE116" s="5">
        <v>273.44</v>
      </c>
      <c r="BF116" s="5">
        <v>61.21</v>
      </c>
      <c r="BG116" s="5">
        <v>266.52</v>
      </c>
      <c r="BH116" s="5">
        <v>56.3</v>
      </c>
      <c r="BI116" s="5">
        <v>262.89</v>
      </c>
      <c r="BJ116" s="5">
        <v>56.13</v>
      </c>
      <c r="BK116" s="5">
        <v>262.81</v>
      </c>
      <c r="BL116" s="5">
        <v>59.17</v>
      </c>
      <c r="BM116" s="5">
        <v>256.33999999999997</v>
      </c>
      <c r="BN116" s="5">
        <v>56.36</v>
      </c>
      <c r="BO116">
        <f t="shared" si="121"/>
        <v>16.5</v>
      </c>
      <c r="BP116" s="5">
        <v>269.14</v>
      </c>
      <c r="BQ116" s="5">
        <v>56.19</v>
      </c>
      <c r="BR116">
        <v>269.81</v>
      </c>
      <c r="BS116">
        <v>60.31</v>
      </c>
      <c r="BT116" s="5">
        <v>266.16000000000003</v>
      </c>
      <c r="BU116" s="5">
        <v>58.39</v>
      </c>
      <c r="BV116" s="5">
        <v>263.75</v>
      </c>
      <c r="BW116" s="5">
        <v>58.71</v>
      </c>
      <c r="BX116" s="5">
        <v>258.86</v>
      </c>
      <c r="BY116" s="5">
        <v>57.51</v>
      </c>
      <c r="BZ116">
        <f t="shared" si="122"/>
        <v>16.5</v>
      </c>
      <c r="CA116" s="5">
        <v>273.70999999999998</v>
      </c>
      <c r="CB116" s="5">
        <v>63.43</v>
      </c>
      <c r="CC116" s="5">
        <v>270.13</v>
      </c>
      <c r="CD116" s="5">
        <v>61.11</v>
      </c>
      <c r="CE116" s="5">
        <v>271.85000000000002</v>
      </c>
      <c r="CF116" s="5">
        <v>64.930000000000007</v>
      </c>
      <c r="CG116" s="5">
        <v>264.01</v>
      </c>
      <c r="CH116" s="5">
        <v>58.73</v>
      </c>
      <c r="CI116" s="5">
        <v>262.20999999999998</v>
      </c>
      <c r="CJ116" s="5">
        <v>59.94</v>
      </c>
      <c r="CM116" s="13" t="s">
        <v>147</v>
      </c>
      <c r="CN116" s="20">
        <v>38.623719999999999</v>
      </c>
      <c r="CO116" s="20">
        <v>-90.185969999999998</v>
      </c>
      <c r="CP116" s="19">
        <v>0.34399999999999997</v>
      </c>
      <c r="CQ116" s="19">
        <v>0.35200000000000009</v>
      </c>
      <c r="CR116" s="19">
        <v>0.27</v>
      </c>
      <c r="CS116" s="19">
        <v>0.30900000000000005</v>
      </c>
      <c r="CT116" s="98">
        <v>279.81666666666666</v>
      </c>
      <c r="CU116" s="98">
        <v>297.59444444444449</v>
      </c>
      <c r="CV116" s="98">
        <v>304.26111111111112</v>
      </c>
      <c r="CW116" s="98">
        <v>286.48333333333335</v>
      </c>
      <c r="CX116" s="104">
        <v>5</v>
      </c>
      <c r="CY116" s="104">
        <v>6</v>
      </c>
      <c r="CZ116" s="104">
        <v>7</v>
      </c>
      <c r="DA116" s="104">
        <v>8</v>
      </c>
      <c r="DB116" s="104">
        <v>2</v>
      </c>
      <c r="DG116">
        <f t="shared" si="134"/>
        <v>77</v>
      </c>
      <c r="DH116" s="5">
        <f t="shared" ca="1" si="135"/>
        <v>354.46</v>
      </c>
      <c r="DI116" s="5">
        <f t="shared" ca="1" si="136"/>
        <v>279.43</v>
      </c>
      <c r="DJ116" s="5">
        <f t="shared" ca="1" si="137"/>
        <v>276.44681260586151</v>
      </c>
      <c r="DK116" s="5">
        <f t="shared" ca="1" si="138"/>
        <v>350.1824422905097</v>
      </c>
      <c r="DL116" s="5">
        <f t="shared" ca="1" si="125"/>
        <v>12.759333333333334</v>
      </c>
      <c r="DM116" s="5">
        <f t="shared" ca="1" si="126"/>
        <v>12.388333333333328</v>
      </c>
      <c r="DN116" s="5">
        <f t="shared" ca="1" si="127"/>
        <v>12.253333333333332</v>
      </c>
      <c r="DO116" s="5">
        <f t="shared" ca="1" si="128"/>
        <v>12.606666666666666</v>
      </c>
      <c r="DP116" s="5">
        <f t="shared" ca="1" si="129"/>
        <v>1.988999999999999</v>
      </c>
      <c r="DQ116" s="5">
        <f t="shared" ca="1" si="130"/>
        <v>2.019000000000001</v>
      </c>
      <c r="DR116" s="5">
        <f t="shared" ca="1" si="131"/>
        <v>1.9999999999999989</v>
      </c>
      <c r="DS116" s="5">
        <f t="shared" ca="1" si="132"/>
        <v>2.0229999999999992</v>
      </c>
      <c r="DU116">
        <f t="shared" si="139"/>
        <v>77</v>
      </c>
      <c r="DV116" s="5">
        <v>545.49</v>
      </c>
      <c r="DW116" s="5">
        <v>521.14378965076924</v>
      </c>
      <c r="DX116" s="5">
        <v>515.58241644202121</v>
      </c>
      <c r="DY116" s="5">
        <v>538.90590905405691</v>
      </c>
      <c r="DZ116" s="5">
        <v>354.46</v>
      </c>
      <c r="EA116" s="5">
        <v>279.43</v>
      </c>
      <c r="EB116" s="5">
        <v>276.44681260586151</v>
      </c>
      <c r="EC116" s="5">
        <v>350.1824422905097</v>
      </c>
      <c r="EE116">
        <f t="shared" si="140"/>
        <v>77</v>
      </c>
      <c r="EF116" s="5">
        <v>9.1829999999999981</v>
      </c>
      <c r="EG116" s="5">
        <v>8.7706666666666706</v>
      </c>
      <c r="EH116" s="5">
        <v>8.6789999999999967</v>
      </c>
      <c r="EI116" s="5">
        <v>9.0689999999999991</v>
      </c>
      <c r="EJ116" s="5">
        <v>12.759333333333334</v>
      </c>
      <c r="EK116" s="5">
        <v>12.388333333333328</v>
      </c>
      <c r="EL116" s="5">
        <v>12.253333333333332</v>
      </c>
      <c r="EM116" s="5">
        <v>12.606666666666666</v>
      </c>
      <c r="EO116">
        <f t="shared" si="141"/>
        <v>77</v>
      </c>
      <c r="EP116" s="5">
        <v>2.1619999999999986</v>
      </c>
      <c r="EQ116" s="5">
        <v>2.0689999999999995</v>
      </c>
      <c r="ER116" s="5">
        <v>2.0500000000000003</v>
      </c>
      <c r="ES116" s="5">
        <v>2.1329999999999991</v>
      </c>
      <c r="ET116" s="5">
        <v>1.988999999999999</v>
      </c>
      <c r="EU116" s="5">
        <v>2.019000000000001</v>
      </c>
      <c r="EV116" s="5">
        <v>1.9999999999999989</v>
      </c>
      <c r="EW116" s="5">
        <v>2.0229999999999992</v>
      </c>
    </row>
    <row r="117" spans="8:153">
      <c r="H117" t="s">
        <v>283</v>
      </c>
      <c r="I117" s="100">
        <v>19.5</v>
      </c>
      <c r="J117" s="5">
        <f t="shared" ca="1" si="107"/>
        <v>0</v>
      </c>
      <c r="K117" s="5">
        <f t="shared" ca="1" si="108"/>
        <v>0</v>
      </c>
      <c r="L117" s="5">
        <f t="shared" ca="1" si="109"/>
        <v>0</v>
      </c>
      <c r="M117" s="5">
        <f t="shared" ca="1" si="110"/>
        <v>0</v>
      </c>
      <c r="O117" s="100">
        <v>19.5</v>
      </c>
      <c r="P117" s="5">
        <f t="shared" ca="1" si="111"/>
        <v>0</v>
      </c>
      <c r="Q117" s="5">
        <f t="shared" ca="1" si="112"/>
        <v>0</v>
      </c>
      <c r="R117" s="5">
        <f t="shared" ca="1" si="113"/>
        <v>0</v>
      </c>
      <c r="S117" s="5">
        <f t="shared" ca="1" si="114"/>
        <v>0</v>
      </c>
      <c r="U117" s="100">
        <v>19.5</v>
      </c>
      <c r="V117" s="5">
        <f t="shared" ca="1" si="115"/>
        <v>0</v>
      </c>
      <c r="W117" s="5">
        <f t="shared" ca="1" si="116"/>
        <v>0</v>
      </c>
      <c r="X117" s="5">
        <f t="shared" ca="1" si="117"/>
        <v>0</v>
      </c>
      <c r="Y117" s="5">
        <f t="shared" ca="1" si="118"/>
        <v>0</v>
      </c>
      <c r="AO117">
        <f t="shared" ref="AO117" si="153">AO116+1</f>
        <v>17.5</v>
      </c>
      <c r="AP117" s="5">
        <v>279.52</v>
      </c>
      <c r="AQ117" s="5">
        <v>70.38</v>
      </c>
      <c r="AR117" s="5">
        <v>277.2</v>
      </c>
      <c r="AS117" s="5">
        <v>68.430000000000007</v>
      </c>
      <c r="AT117" s="5">
        <v>275.72000000000003</v>
      </c>
      <c r="AU117" s="5">
        <v>68.599999999999994</v>
      </c>
      <c r="AV117" s="5">
        <v>272.48</v>
      </c>
      <c r="AW117" s="5">
        <v>66.540000000000006</v>
      </c>
      <c r="AX117" s="5">
        <v>273.97000000000003</v>
      </c>
      <c r="AY117" s="5">
        <v>69.53</v>
      </c>
      <c r="AZ117" s="5">
        <v>279.38</v>
      </c>
      <c r="BA117" s="5">
        <v>75.59</v>
      </c>
      <c r="BB117">
        <f t="shared" si="120"/>
        <v>17.5</v>
      </c>
      <c r="BC117" s="5">
        <v>278.55</v>
      </c>
      <c r="BD117" s="5">
        <v>68.31</v>
      </c>
      <c r="BE117" s="5">
        <v>280.32</v>
      </c>
      <c r="BF117" s="5">
        <v>74.12</v>
      </c>
      <c r="BG117" s="5">
        <v>275.29000000000002</v>
      </c>
      <c r="BH117" s="5">
        <v>68.430000000000007</v>
      </c>
      <c r="BI117" s="5">
        <v>272.94</v>
      </c>
      <c r="BJ117" s="5">
        <v>67.48</v>
      </c>
      <c r="BK117" s="5">
        <v>273.58999999999997</v>
      </c>
      <c r="BL117" s="5">
        <v>69.760000000000005</v>
      </c>
      <c r="BM117" s="5">
        <v>268.27999999999997</v>
      </c>
      <c r="BN117" s="5">
        <v>65.87</v>
      </c>
      <c r="BO117">
        <f t="shared" si="121"/>
        <v>17.5</v>
      </c>
      <c r="BP117" s="5">
        <v>277.06</v>
      </c>
      <c r="BQ117" s="5">
        <v>68.7</v>
      </c>
      <c r="BR117">
        <v>278.44</v>
      </c>
      <c r="BS117">
        <v>72.33</v>
      </c>
      <c r="BT117" s="5">
        <v>275.77</v>
      </c>
      <c r="BU117" s="5">
        <v>69.81</v>
      </c>
      <c r="BV117" s="5">
        <v>274.27999999999997</v>
      </c>
      <c r="BW117" s="5">
        <v>69.37</v>
      </c>
      <c r="BX117" s="5">
        <v>270.63</v>
      </c>
      <c r="BY117" s="5">
        <v>67.37</v>
      </c>
      <c r="BZ117">
        <f t="shared" si="122"/>
        <v>17.5</v>
      </c>
      <c r="CA117" s="5">
        <v>281.23</v>
      </c>
      <c r="CB117" s="5">
        <v>75.930000000000007</v>
      </c>
      <c r="CC117" s="5">
        <v>278.73</v>
      </c>
      <c r="CD117" s="5">
        <v>73.150000000000006</v>
      </c>
      <c r="CE117" s="5">
        <v>280.91000000000003</v>
      </c>
      <c r="CF117" s="5">
        <v>76.489999999999995</v>
      </c>
      <c r="CG117" s="5">
        <v>274.38</v>
      </c>
      <c r="CH117" s="5">
        <v>69.650000000000006</v>
      </c>
      <c r="CI117" s="5">
        <v>273.48</v>
      </c>
      <c r="CJ117" s="5">
        <v>70.040000000000006</v>
      </c>
      <c r="CM117" s="13" t="s">
        <v>148</v>
      </c>
      <c r="CN117" s="20">
        <v>32.294580000000003</v>
      </c>
      <c r="CO117" s="20">
        <v>-90.17389</v>
      </c>
      <c r="CP117" s="19">
        <v>0.374</v>
      </c>
      <c r="CQ117" s="19">
        <v>0.35100000000000009</v>
      </c>
      <c r="CR117" s="19">
        <v>0.33600000000000002</v>
      </c>
      <c r="CS117" s="19">
        <v>0.29900000000000004</v>
      </c>
      <c r="CT117" s="98">
        <v>288.70555555555558</v>
      </c>
      <c r="CU117" s="98">
        <v>301.48333333333335</v>
      </c>
      <c r="CV117" s="98">
        <v>306.48333333333335</v>
      </c>
      <c r="CW117" s="98">
        <v>292.59444444444449</v>
      </c>
      <c r="CX117" s="104">
        <v>5</v>
      </c>
      <c r="CY117" s="104">
        <v>6</v>
      </c>
      <c r="CZ117" s="104">
        <v>7</v>
      </c>
      <c r="DA117" s="104">
        <v>8</v>
      </c>
      <c r="DB117" s="104">
        <v>2</v>
      </c>
      <c r="DG117">
        <f t="shared" si="134"/>
        <v>78</v>
      </c>
      <c r="DH117" s="5">
        <f t="shared" ca="1" si="135"/>
        <v>328.32</v>
      </c>
      <c r="DI117" s="5">
        <f t="shared" ca="1" si="136"/>
        <v>256.45</v>
      </c>
      <c r="DJ117" s="5">
        <f t="shared" ca="1" si="137"/>
        <v>253.71214648668067</v>
      </c>
      <c r="DK117" s="5">
        <f t="shared" ca="1" si="138"/>
        <v>324.35789497494824</v>
      </c>
      <c r="DL117" s="5">
        <f t="shared" ca="1" si="125"/>
        <v>11.977333333333334</v>
      </c>
      <c r="DM117" s="5">
        <f t="shared" ca="1" si="126"/>
        <v>11.599999999999994</v>
      </c>
      <c r="DN117" s="5">
        <f t="shared" ca="1" si="127"/>
        <v>11.473333333333333</v>
      </c>
      <c r="DO117" s="5">
        <f t="shared" ca="1" si="128"/>
        <v>11.833333333333332</v>
      </c>
      <c r="DP117" s="5">
        <f t="shared" ca="1" si="129"/>
        <v>1.7359999999999989</v>
      </c>
      <c r="DQ117" s="5">
        <f t="shared" ca="1" si="130"/>
        <v>1.7960000000000009</v>
      </c>
      <c r="DR117" s="5">
        <f t="shared" ca="1" si="131"/>
        <v>1.7799999999999989</v>
      </c>
      <c r="DS117" s="5">
        <f t="shared" ca="1" si="132"/>
        <v>1.7819999999999991</v>
      </c>
      <c r="DU117">
        <f t="shared" si="139"/>
        <v>78</v>
      </c>
      <c r="DV117" s="5">
        <v>519.37</v>
      </c>
      <c r="DW117" s="5">
        <v>496.18957273445898</v>
      </c>
      <c r="DX117" s="5">
        <v>490.89449784137668</v>
      </c>
      <c r="DY117" s="5">
        <v>513.10117872995932</v>
      </c>
      <c r="DZ117" s="5">
        <v>328.32</v>
      </c>
      <c r="EA117" s="5">
        <v>256.45</v>
      </c>
      <c r="EB117" s="5">
        <v>253.71214648668067</v>
      </c>
      <c r="EC117" s="5">
        <v>324.35789497494824</v>
      </c>
      <c r="EE117">
        <f t="shared" si="140"/>
        <v>78</v>
      </c>
      <c r="EF117" s="5">
        <v>8.7319999999999975</v>
      </c>
      <c r="EG117" s="5">
        <v>8.3393333333333377</v>
      </c>
      <c r="EH117" s="5">
        <v>8.2526666666666628</v>
      </c>
      <c r="EI117" s="5">
        <v>8.6226666666666656</v>
      </c>
      <c r="EJ117" s="5">
        <v>11.977333333333334</v>
      </c>
      <c r="EK117" s="5">
        <v>11.599999999999994</v>
      </c>
      <c r="EL117" s="5">
        <v>11.473333333333333</v>
      </c>
      <c r="EM117" s="5">
        <v>11.833333333333332</v>
      </c>
      <c r="EO117">
        <f t="shared" si="141"/>
        <v>78</v>
      </c>
      <c r="EP117" s="5">
        <v>1.9179999999999986</v>
      </c>
      <c r="EQ117" s="5">
        <v>1.8359999999999994</v>
      </c>
      <c r="ER117" s="5">
        <v>1.8200000000000003</v>
      </c>
      <c r="ES117" s="5">
        <v>1.891999999999999</v>
      </c>
      <c r="ET117" s="5">
        <v>1.7359999999999989</v>
      </c>
      <c r="EU117" s="5">
        <v>1.7960000000000009</v>
      </c>
      <c r="EV117" s="5">
        <v>1.7799999999999989</v>
      </c>
      <c r="EW117" s="5">
        <v>1.7819999999999991</v>
      </c>
    </row>
    <row r="118" spans="8:153">
      <c r="H118" t="s">
        <v>284</v>
      </c>
      <c r="I118" s="100">
        <v>20.5</v>
      </c>
      <c r="J118" s="5">
        <f t="shared" ca="1" si="107"/>
        <v>0</v>
      </c>
      <c r="K118" s="5">
        <f t="shared" ca="1" si="108"/>
        <v>0</v>
      </c>
      <c r="L118" s="5">
        <f t="shared" ca="1" si="109"/>
        <v>0</v>
      </c>
      <c r="M118" s="5">
        <f t="shared" ca="1" si="110"/>
        <v>0</v>
      </c>
      <c r="O118" s="100">
        <v>20.5</v>
      </c>
      <c r="P118" s="5">
        <f t="shared" ca="1" si="111"/>
        <v>0</v>
      </c>
      <c r="Q118" s="5">
        <f t="shared" ca="1" si="112"/>
        <v>0</v>
      </c>
      <c r="R118" s="5">
        <f t="shared" ca="1" si="113"/>
        <v>0</v>
      </c>
      <c r="S118" s="5">
        <f t="shared" ca="1" si="114"/>
        <v>0</v>
      </c>
      <c r="U118" s="100">
        <v>20.5</v>
      </c>
      <c r="V118" s="5">
        <f t="shared" ca="1" si="115"/>
        <v>0</v>
      </c>
      <c r="W118" s="5">
        <f t="shared" ca="1" si="116"/>
        <v>0</v>
      </c>
      <c r="X118" s="5">
        <f t="shared" ca="1" si="117"/>
        <v>0</v>
      </c>
      <c r="Y118" s="5">
        <f t="shared" ca="1" si="118"/>
        <v>0</v>
      </c>
      <c r="AO118">
        <f t="shared" ref="AO118" si="154">AO117+1</f>
        <v>18.5</v>
      </c>
      <c r="AP118" s="5">
        <v>285.39</v>
      </c>
      <c r="AQ118" s="5">
        <v>83.57</v>
      </c>
      <c r="AR118" s="5">
        <v>284.14999999999998</v>
      </c>
      <c r="AS118" s="5">
        <v>81.19</v>
      </c>
      <c r="AT118" s="5">
        <v>283.81</v>
      </c>
      <c r="AU118" s="5">
        <v>80.650000000000006</v>
      </c>
      <c r="AV118" s="5">
        <v>281.69</v>
      </c>
      <c r="AW118" s="5">
        <v>78.010000000000005</v>
      </c>
      <c r="AX118" s="5">
        <v>283.75</v>
      </c>
      <c r="AY118" s="5">
        <v>80.31</v>
      </c>
      <c r="AZ118" s="5">
        <v>289.33</v>
      </c>
      <c r="BA118" s="5">
        <v>86.07</v>
      </c>
      <c r="BB118">
        <f t="shared" si="120"/>
        <v>18.5</v>
      </c>
      <c r="BC118" s="5">
        <v>284.66000000000003</v>
      </c>
      <c r="BD118" s="5">
        <v>81.48</v>
      </c>
      <c r="BE118" s="5">
        <v>287.55</v>
      </c>
      <c r="BF118" s="5">
        <v>86.57</v>
      </c>
      <c r="BG118" s="5">
        <v>283.82</v>
      </c>
      <c r="BH118" s="5">
        <v>80.19</v>
      </c>
      <c r="BI118" s="5">
        <v>282.51</v>
      </c>
      <c r="BJ118" s="5">
        <v>78.53</v>
      </c>
      <c r="BK118" s="5">
        <v>283.97000000000003</v>
      </c>
      <c r="BL118" s="5">
        <v>80.02</v>
      </c>
      <c r="BM118" s="5">
        <v>279.41000000000003</v>
      </c>
      <c r="BN118" s="5">
        <v>75.64</v>
      </c>
      <c r="BO118">
        <f t="shared" si="121"/>
        <v>18.5</v>
      </c>
      <c r="BP118" s="5">
        <v>284.44</v>
      </c>
      <c r="BQ118" s="5">
        <v>81.17</v>
      </c>
      <c r="BR118">
        <v>286.66000000000003</v>
      </c>
      <c r="BS118">
        <v>84.23</v>
      </c>
      <c r="BT118" s="5">
        <v>284.72000000000003</v>
      </c>
      <c r="BU118" s="5">
        <v>81.290000000000006</v>
      </c>
      <c r="BV118" s="5">
        <v>284.02</v>
      </c>
      <c r="BW118" s="5">
        <v>80.25</v>
      </c>
      <c r="BX118" s="5">
        <v>281.37</v>
      </c>
      <c r="BY118" s="5">
        <v>77.45</v>
      </c>
      <c r="BZ118">
        <f t="shared" si="122"/>
        <v>18.5</v>
      </c>
      <c r="CA118" s="5">
        <v>288.91000000000003</v>
      </c>
      <c r="CB118" s="5">
        <v>88.1</v>
      </c>
      <c r="CC118" s="5">
        <v>287.2</v>
      </c>
      <c r="CD118" s="5">
        <v>84.37</v>
      </c>
      <c r="CE118" s="5">
        <v>289.99</v>
      </c>
      <c r="CF118" s="5">
        <v>87.68</v>
      </c>
      <c r="CG118" s="5">
        <v>284.2</v>
      </c>
      <c r="CH118" s="5">
        <v>80.42</v>
      </c>
      <c r="CI118" s="5">
        <v>284.16000000000003</v>
      </c>
      <c r="CJ118" s="5">
        <v>80</v>
      </c>
      <c r="CM118" s="13" t="s">
        <v>149</v>
      </c>
      <c r="CN118" s="20">
        <v>32.386789999999998</v>
      </c>
      <c r="CO118" s="20">
        <v>-88.698830000000001</v>
      </c>
      <c r="CP118" s="19">
        <v>0.32999999999999996</v>
      </c>
      <c r="CQ118" s="19">
        <v>0.31800000000000006</v>
      </c>
      <c r="CR118" s="19">
        <v>0.33100000000000002</v>
      </c>
      <c r="CS118" s="19">
        <v>0.27200000000000002</v>
      </c>
      <c r="CT118" s="98">
        <v>289.26111111111112</v>
      </c>
      <c r="CU118" s="98">
        <v>301.48333333333335</v>
      </c>
      <c r="CV118" s="98">
        <v>306.48333333333335</v>
      </c>
      <c r="CW118" s="98">
        <v>293.15000000000003</v>
      </c>
      <c r="CX118" s="104">
        <v>5</v>
      </c>
      <c r="CY118" s="104">
        <v>6</v>
      </c>
      <c r="CZ118" s="104">
        <v>7</v>
      </c>
      <c r="DA118" s="104">
        <v>8</v>
      </c>
      <c r="DB118" s="104">
        <v>2</v>
      </c>
      <c r="DG118">
        <f t="shared" si="134"/>
        <v>79</v>
      </c>
      <c r="DH118" s="5">
        <f t="shared" ca="1" si="135"/>
        <v>300.73</v>
      </c>
      <c r="DI118" s="5">
        <f t="shared" ca="1" si="136"/>
        <v>232.4</v>
      </c>
      <c r="DJ118" s="5">
        <f t="shared" ca="1" si="137"/>
        <v>229.91890365960066</v>
      </c>
      <c r="DK118" s="5">
        <f t="shared" ca="1" si="138"/>
        <v>297.10084599115555</v>
      </c>
      <c r="DL118" s="5">
        <f t="shared" ca="1" si="125"/>
        <v>11.195333333333334</v>
      </c>
      <c r="DM118" s="5">
        <f t="shared" ca="1" si="126"/>
        <v>10.81166666666666</v>
      </c>
      <c r="DN118" s="5">
        <f t="shared" ca="1" si="127"/>
        <v>10.693333333333333</v>
      </c>
      <c r="DO118" s="5">
        <f t="shared" ca="1" si="128"/>
        <v>11.059999999999999</v>
      </c>
      <c r="DP118" s="5">
        <f t="shared" ca="1" si="129"/>
        <v>1.4829999999999988</v>
      </c>
      <c r="DQ118" s="5">
        <f t="shared" ca="1" si="130"/>
        <v>1.5730000000000008</v>
      </c>
      <c r="DR118" s="5">
        <f t="shared" ca="1" si="131"/>
        <v>1.5599999999999989</v>
      </c>
      <c r="DS118" s="5">
        <f t="shared" ca="1" si="132"/>
        <v>1.540999999999999</v>
      </c>
      <c r="DU118">
        <f t="shared" si="139"/>
        <v>79</v>
      </c>
      <c r="DV118" s="5">
        <v>491.08</v>
      </c>
      <c r="DW118" s="5">
        <v>469.16220686300341</v>
      </c>
      <c r="DX118" s="5">
        <v>464.15555384397101</v>
      </c>
      <c r="DY118" s="5">
        <v>485.15264041186128</v>
      </c>
      <c r="DZ118" s="5">
        <v>300.73</v>
      </c>
      <c r="EA118" s="5">
        <v>232.4</v>
      </c>
      <c r="EB118" s="5">
        <v>229.91890365960066</v>
      </c>
      <c r="EC118" s="5">
        <v>297.10084599115555</v>
      </c>
      <c r="EE118">
        <f t="shared" si="140"/>
        <v>79</v>
      </c>
      <c r="EF118" s="5">
        <v>8.280999999999997</v>
      </c>
      <c r="EG118" s="5">
        <v>7.9080000000000039</v>
      </c>
      <c r="EH118" s="5">
        <v>7.8263333333333289</v>
      </c>
      <c r="EI118" s="5">
        <v>8.1763333333333321</v>
      </c>
      <c r="EJ118" s="5">
        <v>11.195333333333334</v>
      </c>
      <c r="EK118" s="5">
        <v>10.81166666666666</v>
      </c>
      <c r="EL118" s="5">
        <v>10.693333333333333</v>
      </c>
      <c r="EM118" s="5">
        <v>11.059999999999999</v>
      </c>
      <c r="EO118">
        <f t="shared" si="141"/>
        <v>79</v>
      </c>
      <c r="EP118" s="5">
        <v>1.6739999999999986</v>
      </c>
      <c r="EQ118" s="5">
        <v>1.6029999999999993</v>
      </c>
      <c r="ER118" s="5">
        <v>1.5900000000000003</v>
      </c>
      <c r="ES118" s="5">
        <v>1.6509999999999989</v>
      </c>
      <c r="ET118" s="5">
        <v>1.4829999999999988</v>
      </c>
      <c r="EU118" s="5">
        <v>1.5730000000000008</v>
      </c>
      <c r="EV118" s="5">
        <v>1.5599999999999989</v>
      </c>
      <c r="EW118" s="5">
        <v>1.540999999999999</v>
      </c>
    </row>
    <row r="119" spans="8:153">
      <c r="H119" t="s">
        <v>285</v>
      </c>
      <c r="I119" s="100">
        <v>21.5</v>
      </c>
      <c r="J119" s="5">
        <f t="shared" ca="1" si="107"/>
        <v>0</v>
      </c>
      <c r="K119" s="5">
        <f t="shared" ca="1" si="108"/>
        <v>0</v>
      </c>
      <c r="L119" s="5">
        <f t="shared" ca="1" si="109"/>
        <v>0</v>
      </c>
      <c r="M119" s="5">
        <f t="shared" ca="1" si="110"/>
        <v>0</v>
      </c>
      <c r="O119" s="100">
        <v>21.5</v>
      </c>
      <c r="P119" s="5">
        <f t="shared" ca="1" si="111"/>
        <v>0</v>
      </c>
      <c r="Q119" s="5">
        <f t="shared" ca="1" si="112"/>
        <v>0</v>
      </c>
      <c r="R119" s="5">
        <f t="shared" ca="1" si="113"/>
        <v>0</v>
      </c>
      <c r="S119" s="5">
        <f t="shared" ca="1" si="114"/>
        <v>0</v>
      </c>
      <c r="U119" s="100">
        <v>21.5</v>
      </c>
      <c r="V119" s="5">
        <f t="shared" ca="1" si="115"/>
        <v>0</v>
      </c>
      <c r="W119" s="5">
        <f t="shared" ca="1" si="116"/>
        <v>0</v>
      </c>
      <c r="X119" s="5">
        <f t="shared" ca="1" si="117"/>
        <v>0</v>
      </c>
      <c r="Y119" s="5">
        <f t="shared" ca="1" si="118"/>
        <v>0</v>
      </c>
      <c r="AO119">
        <f t="shared" ref="AO119" si="155">AO118+1</f>
        <v>19.5</v>
      </c>
      <c r="AP119" s="5">
        <v>292.16000000000003</v>
      </c>
      <c r="AQ119" s="5">
        <v>96.2</v>
      </c>
      <c r="AR119" s="5">
        <v>291.77999999999997</v>
      </c>
      <c r="AS119" s="5">
        <v>93.3</v>
      </c>
      <c r="AT119" s="5">
        <v>292.45</v>
      </c>
      <c r="AU119" s="5">
        <v>92.09</v>
      </c>
      <c r="AV119" s="5">
        <v>291.17</v>
      </c>
      <c r="AW119" s="5">
        <v>88.74</v>
      </c>
      <c r="AX119" s="5">
        <v>293.88</v>
      </c>
      <c r="AY119" s="5">
        <v>90.51</v>
      </c>
      <c r="AZ119" s="5">
        <v>299.95</v>
      </c>
      <c r="BA119" s="5">
        <v>95.72</v>
      </c>
      <c r="BB119">
        <f t="shared" si="120"/>
        <v>19.5</v>
      </c>
      <c r="BC119" s="5">
        <v>291.08999999999997</v>
      </c>
      <c r="BD119" s="5">
        <v>94.21</v>
      </c>
      <c r="BE119" s="5">
        <v>295.3</v>
      </c>
      <c r="BF119" s="5">
        <v>98.63</v>
      </c>
      <c r="BG119" s="5">
        <v>292.42</v>
      </c>
      <c r="BH119" s="5">
        <v>91.65</v>
      </c>
      <c r="BI119" s="5">
        <v>291.98</v>
      </c>
      <c r="BJ119" s="5">
        <v>89.35</v>
      </c>
      <c r="BK119" s="5">
        <v>294.29000000000002</v>
      </c>
      <c r="BL119" s="5">
        <v>90.03</v>
      </c>
      <c r="BM119" s="5">
        <v>290.17</v>
      </c>
      <c r="BN119" s="5">
        <v>85.32</v>
      </c>
      <c r="BO119">
        <f t="shared" si="121"/>
        <v>19.5</v>
      </c>
      <c r="BP119" s="5">
        <v>292.27</v>
      </c>
      <c r="BQ119" s="5">
        <v>93.21</v>
      </c>
      <c r="BR119">
        <v>295.42</v>
      </c>
      <c r="BS119">
        <v>95.6</v>
      </c>
      <c r="BT119" s="5">
        <v>293.98</v>
      </c>
      <c r="BU119" s="5">
        <v>92.3</v>
      </c>
      <c r="BV119" s="5">
        <v>293.95999999999998</v>
      </c>
      <c r="BW119" s="5">
        <v>90.63</v>
      </c>
      <c r="BX119" s="5">
        <v>292.06</v>
      </c>
      <c r="BY119" s="5">
        <v>87.15</v>
      </c>
      <c r="BZ119">
        <f t="shared" si="122"/>
        <v>19.5</v>
      </c>
      <c r="CA119" s="5">
        <v>297.38</v>
      </c>
      <c r="CB119" s="5">
        <v>99.86</v>
      </c>
      <c r="CC119" s="5">
        <v>296.23</v>
      </c>
      <c r="CD119" s="5">
        <v>95.98</v>
      </c>
      <c r="CE119" s="5">
        <v>299.76</v>
      </c>
      <c r="CF119" s="5">
        <v>98.23</v>
      </c>
      <c r="CG119" s="5">
        <v>294.20999999999998</v>
      </c>
      <c r="CH119" s="5">
        <v>90.74</v>
      </c>
      <c r="CI119" s="5">
        <v>294.95</v>
      </c>
      <c r="CJ119" s="5">
        <v>89.58</v>
      </c>
      <c r="CM119" s="13" t="s">
        <v>150</v>
      </c>
      <c r="CN119" s="20">
        <v>32.324100000000001</v>
      </c>
      <c r="CO119" s="20">
        <v>-90.887349999999998</v>
      </c>
      <c r="CP119" s="19">
        <v>0.32799999999999996</v>
      </c>
      <c r="CQ119" s="19">
        <v>0.30800000000000005</v>
      </c>
      <c r="CR119" s="19">
        <v>0.29599999999999999</v>
      </c>
      <c r="CS119" s="19">
        <v>0.25600000000000001</v>
      </c>
      <c r="CT119" s="98">
        <v>290.92777777777781</v>
      </c>
      <c r="CU119" s="98">
        <v>302.03888888888895</v>
      </c>
      <c r="CV119" s="98">
        <v>306.48333333333335</v>
      </c>
      <c r="CW119" s="98">
        <v>293.70555555555558</v>
      </c>
      <c r="CX119" s="104">
        <v>5</v>
      </c>
      <c r="CY119" s="104">
        <v>6</v>
      </c>
      <c r="CZ119" s="104">
        <v>7</v>
      </c>
      <c r="DA119" s="104">
        <v>8</v>
      </c>
      <c r="DB119" s="104">
        <v>2</v>
      </c>
      <c r="DG119">
        <f t="shared" si="134"/>
        <v>80</v>
      </c>
      <c r="DH119" s="5">
        <f t="shared" ca="1" si="135"/>
        <v>271.89</v>
      </c>
      <c r="DI119" s="5">
        <f t="shared" ca="1" si="136"/>
        <v>207.57</v>
      </c>
      <c r="DJ119" s="5">
        <f t="shared" ca="1" si="137"/>
        <v>205.3539880921829</v>
      </c>
      <c r="DK119" s="5">
        <f t="shared" ca="1" si="138"/>
        <v>268.60888177612901</v>
      </c>
      <c r="DL119" s="5">
        <f t="shared" ca="1" si="125"/>
        <v>10.413333333333334</v>
      </c>
      <c r="DM119" s="5">
        <f t="shared" ca="1" si="126"/>
        <v>10.023333333333335</v>
      </c>
      <c r="DN119" s="5">
        <f t="shared" ca="1" si="127"/>
        <v>9.9133333333333322</v>
      </c>
      <c r="DO119" s="5">
        <f t="shared" ca="1" si="128"/>
        <v>10.286666666666667</v>
      </c>
      <c r="DP119" s="5">
        <f t="shared" ca="1" si="129"/>
        <v>1.23</v>
      </c>
      <c r="DQ119" s="5">
        <f t="shared" ca="1" si="130"/>
        <v>1.35</v>
      </c>
      <c r="DR119" s="5">
        <f t="shared" ca="1" si="131"/>
        <v>1.34</v>
      </c>
      <c r="DS119" s="5">
        <f t="shared" ca="1" si="132"/>
        <v>1.3</v>
      </c>
      <c r="DU119">
        <f t="shared" si="139"/>
        <v>80</v>
      </c>
      <c r="DV119" s="5">
        <v>460.56</v>
      </c>
      <c r="DW119" s="5">
        <v>440.00436994547704</v>
      </c>
      <c r="DX119" s="5">
        <v>435.30887407017042</v>
      </c>
      <c r="DY119" s="5">
        <v>455.00101830269375</v>
      </c>
      <c r="DZ119" s="5">
        <v>271.89</v>
      </c>
      <c r="EA119" s="5">
        <v>207.57</v>
      </c>
      <c r="EB119" s="5">
        <v>205.3539880921829</v>
      </c>
      <c r="EC119" s="5">
        <v>268.60888177612901</v>
      </c>
      <c r="EE119">
        <f t="shared" si="140"/>
        <v>80</v>
      </c>
      <c r="EF119" s="5">
        <v>7.8299999999999992</v>
      </c>
      <c r="EG119" s="5">
        <v>7.4766666666666666</v>
      </c>
      <c r="EH119" s="5">
        <v>7.3999999999999995</v>
      </c>
      <c r="EI119" s="5">
        <v>7.73</v>
      </c>
      <c r="EJ119" s="5">
        <v>10.413333333333334</v>
      </c>
      <c r="EK119" s="5">
        <v>10.023333333333335</v>
      </c>
      <c r="EL119" s="5">
        <v>9.9133333333333322</v>
      </c>
      <c r="EM119" s="5">
        <v>10.286666666666667</v>
      </c>
      <c r="EO119">
        <f t="shared" si="141"/>
        <v>80</v>
      </c>
      <c r="EP119" s="5">
        <v>1.43</v>
      </c>
      <c r="EQ119" s="5">
        <v>1.37</v>
      </c>
      <c r="ER119" s="5">
        <v>1.36</v>
      </c>
      <c r="ES119" s="5">
        <v>1.41</v>
      </c>
      <c r="ET119" s="5">
        <v>1.23</v>
      </c>
      <c r="EU119" s="5">
        <v>1.35</v>
      </c>
      <c r="EV119" s="5">
        <v>1.34</v>
      </c>
      <c r="EW119" s="5">
        <v>1.3</v>
      </c>
    </row>
    <row r="120" spans="8:153">
      <c r="H120" t="s">
        <v>286</v>
      </c>
      <c r="I120" s="100">
        <v>22.5</v>
      </c>
      <c r="J120" s="5">
        <f t="shared" ca="1" si="107"/>
        <v>0</v>
      </c>
      <c r="K120" s="5">
        <f t="shared" ca="1" si="108"/>
        <v>0</v>
      </c>
      <c r="L120" s="5">
        <f t="shared" ca="1" si="109"/>
        <v>0</v>
      </c>
      <c r="M120" s="5">
        <f t="shared" ca="1" si="110"/>
        <v>0</v>
      </c>
      <c r="O120" s="100">
        <v>22.5</v>
      </c>
      <c r="P120" s="5">
        <f t="shared" ca="1" si="111"/>
        <v>0</v>
      </c>
      <c r="Q120" s="5">
        <f t="shared" ca="1" si="112"/>
        <v>0</v>
      </c>
      <c r="R120" s="5">
        <f t="shared" ca="1" si="113"/>
        <v>0</v>
      </c>
      <c r="S120" s="5">
        <f t="shared" ca="1" si="114"/>
        <v>0</v>
      </c>
      <c r="U120" s="100">
        <v>22.5</v>
      </c>
      <c r="V120" s="5">
        <f t="shared" ca="1" si="115"/>
        <v>0</v>
      </c>
      <c r="W120" s="5">
        <f t="shared" ca="1" si="116"/>
        <v>0</v>
      </c>
      <c r="X120" s="5">
        <f t="shared" ca="1" si="117"/>
        <v>0</v>
      </c>
      <c r="Y120" s="5">
        <f t="shared" ca="1" si="118"/>
        <v>0</v>
      </c>
      <c r="AO120">
        <f t="shared" ref="AO120" si="156">AO119+1</f>
        <v>20.5</v>
      </c>
      <c r="AP120" s="5">
        <v>300</v>
      </c>
      <c r="AQ120" s="5">
        <v>108.18</v>
      </c>
      <c r="AR120" s="5">
        <v>300.3</v>
      </c>
      <c r="AS120" s="5">
        <v>104.94</v>
      </c>
      <c r="AT120" s="5">
        <v>301.87</v>
      </c>
      <c r="AU120" s="5">
        <v>103.04</v>
      </c>
      <c r="AV120" s="5">
        <v>301.19</v>
      </c>
      <c r="AW120" s="5">
        <v>99.04</v>
      </c>
      <c r="AX120" s="5">
        <v>304.61</v>
      </c>
      <c r="AY120" s="5">
        <v>100.08</v>
      </c>
      <c r="AZ120" s="5">
        <v>311.47000000000003</v>
      </c>
      <c r="BA120" s="5">
        <v>104.86</v>
      </c>
      <c r="BB120">
        <f t="shared" si="120"/>
        <v>20.5</v>
      </c>
      <c r="BC120" s="5">
        <v>298.73</v>
      </c>
      <c r="BD120" s="5">
        <v>106.45</v>
      </c>
      <c r="BE120" s="5">
        <v>304.49</v>
      </c>
      <c r="BF120" s="5">
        <v>109.95</v>
      </c>
      <c r="BG120" s="5">
        <v>301.98</v>
      </c>
      <c r="BH120" s="5">
        <v>102.52</v>
      </c>
      <c r="BI120" s="5">
        <v>302.20999999999998</v>
      </c>
      <c r="BJ120" s="5">
        <v>99.43</v>
      </c>
      <c r="BK120" s="5">
        <v>305.35000000000002</v>
      </c>
      <c r="BL120" s="5">
        <v>99.29</v>
      </c>
      <c r="BM120" s="5">
        <v>301.33999999999997</v>
      </c>
      <c r="BN120" s="5">
        <v>94.33</v>
      </c>
      <c r="BO120">
        <f t="shared" si="121"/>
        <v>20.5</v>
      </c>
      <c r="BP120" s="5">
        <v>301.18</v>
      </c>
      <c r="BQ120" s="5">
        <v>104.56</v>
      </c>
      <c r="BR120">
        <v>305.38</v>
      </c>
      <c r="BS120">
        <v>105.43</v>
      </c>
      <c r="BT120" s="5">
        <v>304.2</v>
      </c>
      <c r="BU120" s="5">
        <v>102.44</v>
      </c>
      <c r="BV120" s="5">
        <v>304.69</v>
      </c>
      <c r="BW120" s="5">
        <v>100.24</v>
      </c>
      <c r="BX120" s="5">
        <v>303.27</v>
      </c>
      <c r="BY120" s="5">
        <v>96.1</v>
      </c>
      <c r="BZ120">
        <f t="shared" si="122"/>
        <v>20.5</v>
      </c>
      <c r="CA120" s="5">
        <v>307.33999999999997</v>
      </c>
      <c r="CB120" s="5">
        <v>110.41</v>
      </c>
      <c r="CC120" s="5">
        <v>306.45</v>
      </c>
      <c r="CD120" s="5">
        <v>106.27</v>
      </c>
      <c r="CE120" s="5">
        <v>310.82</v>
      </c>
      <c r="CF120" s="5">
        <v>107.68</v>
      </c>
      <c r="CG120" s="5">
        <v>305.02999999999997</v>
      </c>
      <c r="CH120" s="5">
        <v>100.25</v>
      </c>
      <c r="CI120" s="5">
        <v>306.39999999999998</v>
      </c>
      <c r="CJ120" s="5">
        <v>98.29</v>
      </c>
      <c r="CM120" s="13" t="s">
        <v>151</v>
      </c>
      <c r="CN120" s="20">
        <v>45.768120000000003</v>
      </c>
      <c r="CO120" s="20">
        <v>-108.56009</v>
      </c>
      <c r="CP120" s="19">
        <v>0.38899999999999996</v>
      </c>
      <c r="CQ120" s="19">
        <v>0.46700000000000003</v>
      </c>
      <c r="CR120" s="19">
        <v>0.34900000000000003</v>
      </c>
      <c r="CS120" s="19">
        <v>0.38</v>
      </c>
      <c r="CT120" s="98">
        <v>277.59444444444443</v>
      </c>
      <c r="CU120" s="98">
        <v>292.59444444444449</v>
      </c>
      <c r="CV120" s="98">
        <v>303.15000000000003</v>
      </c>
      <c r="CW120" s="98">
        <v>280.37222222222221</v>
      </c>
      <c r="CX120" s="104">
        <v>1</v>
      </c>
      <c r="CY120" s="104">
        <v>2</v>
      </c>
      <c r="CZ120" s="104">
        <v>3</v>
      </c>
      <c r="DA120" s="104">
        <v>4</v>
      </c>
      <c r="DB120" s="104">
        <v>1</v>
      </c>
      <c r="DG120">
        <f t="shared" si="134"/>
        <v>81</v>
      </c>
      <c r="DH120" s="5">
        <f t="shared" ca="1" si="135"/>
        <v>241.87</v>
      </c>
      <c r="DI120" s="5">
        <f t="shared" ca="1" si="136"/>
        <v>182.04</v>
      </c>
      <c r="DJ120" s="5">
        <f t="shared" ca="1" si="137"/>
        <v>180.09654570651335</v>
      </c>
      <c r="DK120" s="5">
        <f t="shared" ca="1" si="138"/>
        <v>238.95115758281781</v>
      </c>
      <c r="DL120" s="5">
        <f t="shared" ca="1" si="125"/>
        <v>9.4926666666666666</v>
      </c>
      <c r="DM120" s="5">
        <f t="shared" ca="1" si="126"/>
        <v>9.1350000000000016</v>
      </c>
      <c r="DN120" s="5">
        <f t="shared" ca="1" si="127"/>
        <v>9.0346666666666664</v>
      </c>
      <c r="DO120" s="5">
        <f t="shared" ca="1" si="128"/>
        <v>9.3773333333333344</v>
      </c>
      <c r="DP120" s="5">
        <f t="shared" ca="1" si="129"/>
        <v>1.121</v>
      </c>
      <c r="DQ120" s="5">
        <f t="shared" ca="1" si="130"/>
        <v>1.242</v>
      </c>
      <c r="DR120" s="5">
        <f t="shared" ca="1" si="131"/>
        <v>1.2330000000000001</v>
      </c>
      <c r="DS120" s="5">
        <f t="shared" ca="1" si="132"/>
        <v>1.1839999999999999</v>
      </c>
      <c r="DU120">
        <f t="shared" si="139"/>
        <v>81</v>
      </c>
      <c r="DV120" s="5">
        <v>427.57</v>
      </c>
      <c r="DW120" s="5">
        <v>408.48677361817704</v>
      </c>
      <c r="DX120" s="5">
        <v>404.12761700143909</v>
      </c>
      <c r="DY120" s="5">
        <v>422.40920921418007</v>
      </c>
      <c r="DZ120" s="5">
        <v>241.87</v>
      </c>
      <c r="EA120" s="5">
        <v>182.04</v>
      </c>
      <c r="EB120" s="5">
        <v>180.09654570651335</v>
      </c>
      <c r="EC120" s="5">
        <v>238.95115758281781</v>
      </c>
      <c r="EE120">
        <f t="shared" si="140"/>
        <v>81</v>
      </c>
      <c r="EF120" s="5">
        <v>7.1766666666666659</v>
      </c>
      <c r="EG120" s="5">
        <v>6.8529999999999998</v>
      </c>
      <c r="EH120" s="5">
        <v>6.7829999999999995</v>
      </c>
      <c r="EI120" s="5">
        <v>7.0853333333333337</v>
      </c>
      <c r="EJ120" s="5">
        <v>9.4926666666666666</v>
      </c>
      <c r="EK120" s="5">
        <v>9.1350000000000016</v>
      </c>
      <c r="EL120" s="5">
        <v>9.0346666666666664</v>
      </c>
      <c r="EM120" s="5">
        <v>9.3773333333333344</v>
      </c>
      <c r="EO120">
        <f t="shared" si="141"/>
        <v>81</v>
      </c>
      <c r="EP120" s="5">
        <v>1.3089999999999999</v>
      </c>
      <c r="EQ120" s="5">
        <v>1.2550000000000001</v>
      </c>
      <c r="ER120" s="5">
        <v>1.246</v>
      </c>
      <c r="ES120" s="5">
        <v>1.2909999999999999</v>
      </c>
      <c r="ET120" s="5">
        <v>1.121</v>
      </c>
      <c r="EU120" s="5">
        <v>1.242</v>
      </c>
      <c r="EV120" s="5">
        <v>1.2330000000000001</v>
      </c>
      <c r="EW120" s="5">
        <v>1.1839999999999999</v>
      </c>
    </row>
    <row r="121" spans="8:153">
      <c r="H121" t="s">
        <v>287</v>
      </c>
      <c r="I121" s="100">
        <v>23.5</v>
      </c>
      <c r="J121" s="5">
        <f t="shared" ca="1" si="107"/>
        <v>0</v>
      </c>
      <c r="K121" s="5">
        <f t="shared" ca="1" si="108"/>
        <v>0</v>
      </c>
      <c r="L121" s="5">
        <f t="shared" ca="1" si="109"/>
        <v>0</v>
      </c>
      <c r="M121" s="5">
        <f t="shared" ca="1" si="110"/>
        <v>0</v>
      </c>
      <c r="O121" s="100">
        <v>23.5</v>
      </c>
      <c r="P121" s="5">
        <f t="shared" ca="1" si="111"/>
        <v>0</v>
      </c>
      <c r="Q121" s="5">
        <f t="shared" ca="1" si="112"/>
        <v>0</v>
      </c>
      <c r="R121" s="5">
        <f t="shared" ca="1" si="113"/>
        <v>0</v>
      </c>
      <c r="S121" s="5">
        <f t="shared" ca="1" si="114"/>
        <v>0</v>
      </c>
      <c r="U121" s="100">
        <v>23.5</v>
      </c>
      <c r="V121" s="5">
        <f t="shared" ca="1" si="115"/>
        <v>0</v>
      </c>
      <c r="W121" s="5">
        <f t="shared" ca="1" si="116"/>
        <v>0</v>
      </c>
      <c r="X121" s="5">
        <f t="shared" ca="1" si="117"/>
        <v>0</v>
      </c>
      <c r="Y121" s="5">
        <f t="shared" ca="1" si="118"/>
        <v>0</v>
      </c>
      <c r="AO121">
        <f t="shared" ref="AO121" si="157">AO120+1</f>
        <v>21.5</v>
      </c>
      <c r="AP121" s="5">
        <v>304.66000000000003</v>
      </c>
      <c r="AQ121" s="5">
        <v>114.03</v>
      </c>
      <c r="AR121" s="5">
        <v>305.2</v>
      </c>
      <c r="AS121" s="5">
        <v>110.48</v>
      </c>
      <c r="AT121" s="5">
        <v>307.14999999999998</v>
      </c>
      <c r="AU121" s="5">
        <v>108.09</v>
      </c>
      <c r="AV121" s="5">
        <v>306.66000000000003</v>
      </c>
      <c r="AW121" s="5">
        <v>103.22</v>
      </c>
      <c r="AX121" s="5">
        <v>310.44</v>
      </c>
      <c r="AY121" s="5">
        <v>104.44</v>
      </c>
      <c r="AZ121" s="5">
        <v>317.77</v>
      </c>
      <c r="BA121" s="5">
        <v>108.39</v>
      </c>
      <c r="BB121">
        <f t="shared" si="120"/>
        <v>21.5</v>
      </c>
      <c r="BC121" s="5">
        <v>303.23</v>
      </c>
      <c r="BD121" s="5">
        <v>112.24</v>
      </c>
      <c r="BE121" s="5">
        <v>309.87</v>
      </c>
      <c r="BF121" s="5">
        <v>115.12</v>
      </c>
      <c r="BG121" s="5">
        <v>307.33</v>
      </c>
      <c r="BH121" s="5">
        <v>107.45</v>
      </c>
      <c r="BI121" s="5">
        <v>307.8</v>
      </c>
      <c r="BJ121" s="5">
        <v>104.13</v>
      </c>
      <c r="BK121" s="5">
        <v>311.31</v>
      </c>
      <c r="BL121" s="5">
        <v>103.43</v>
      </c>
      <c r="BM121" s="5">
        <v>307.24</v>
      </c>
      <c r="BN121" s="5">
        <v>98.47</v>
      </c>
      <c r="BO121">
        <f t="shared" si="121"/>
        <v>21.5</v>
      </c>
      <c r="BP121" s="5">
        <v>306.27</v>
      </c>
      <c r="BQ121" s="5">
        <v>109.84</v>
      </c>
      <c r="BR121">
        <v>311.02</v>
      </c>
      <c r="BS121">
        <v>110.92</v>
      </c>
      <c r="BT121" s="5">
        <v>309.85000000000002</v>
      </c>
      <c r="BU121" s="5">
        <v>107.1</v>
      </c>
      <c r="BV121" s="5">
        <v>310.52999999999997</v>
      </c>
      <c r="BW121" s="5">
        <v>104.42</v>
      </c>
      <c r="BX121" s="5">
        <v>309.23</v>
      </c>
      <c r="BY121" s="5">
        <v>100.08</v>
      </c>
      <c r="BZ121">
        <f t="shared" si="122"/>
        <v>21.5</v>
      </c>
      <c r="CA121" s="5">
        <v>313.11</v>
      </c>
      <c r="CB121" s="5">
        <v>115.23</v>
      </c>
      <c r="CC121" s="5">
        <v>312.22000000000003</v>
      </c>
      <c r="CD121" s="5">
        <v>110.93</v>
      </c>
      <c r="CE121" s="5">
        <v>317.02</v>
      </c>
      <c r="CF121" s="5">
        <v>111.9</v>
      </c>
      <c r="CG121" s="5">
        <v>310.89999999999998</v>
      </c>
      <c r="CH121" s="5">
        <v>104.56</v>
      </c>
      <c r="CI121" s="5">
        <v>312.52</v>
      </c>
      <c r="CJ121" s="5">
        <v>102.17</v>
      </c>
      <c r="CM121" s="17" t="s">
        <v>152</v>
      </c>
      <c r="CN121" s="20">
        <v>47.509839999999997</v>
      </c>
      <c r="CO121" s="20">
        <v>-111.30571999999999</v>
      </c>
      <c r="CP121" s="19">
        <v>0.41</v>
      </c>
      <c r="CQ121" s="19">
        <v>0.5069999999999999</v>
      </c>
      <c r="CR121" s="19">
        <v>0.38400000000000001</v>
      </c>
      <c r="CS121" s="19">
        <v>0.42399999999999993</v>
      </c>
      <c r="CT121" s="98">
        <v>276.48333333333335</v>
      </c>
      <c r="CU121" s="98">
        <v>291.48333333333335</v>
      </c>
      <c r="CV121" s="98">
        <v>300.92777777777781</v>
      </c>
      <c r="CW121" s="98">
        <v>279.26111111111112</v>
      </c>
      <c r="CX121" s="104">
        <v>1</v>
      </c>
      <c r="CY121" s="104">
        <v>2</v>
      </c>
      <c r="CZ121" s="104">
        <v>3</v>
      </c>
      <c r="DA121" s="104">
        <v>4</v>
      </c>
      <c r="DB121" s="104">
        <v>1</v>
      </c>
      <c r="DG121">
        <f t="shared" si="134"/>
        <v>82</v>
      </c>
      <c r="DH121" s="5">
        <f t="shared" ca="1" si="135"/>
        <v>210.55</v>
      </c>
      <c r="DI121" s="5">
        <f t="shared" ca="1" si="136"/>
        <v>155.83000000000001</v>
      </c>
      <c r="DJ121" s="5">
        <f t="shared" ca="1" si="137"/>
        <v>154.16636298311349</v>
      </c>
      <c r="DK121" s="5">
        <f t="shared" ca="1" si="138"/>
        <v>208.0091215490234</v>
      </c>
      <c r="DL121" s="5">
        <f t="shared" ca="1" si="125"/>
        <v>8.5719999999999992</v>
      </c>
      <c r="DM121" s="5">
        <f t="shared" ca="1" si="126"/>
        <v>8.2466666666666679</v>
      </c>
      <c r="DN121" s="5">
        <f t="shared" ca="1" si="127"/>
        <v>8.1560000000000006</v>
      </c>
      <c r="DO121" s="5">
        <f t="shared" ca="1" si="128"/>
        <v>8.4680000000000017</v>
      </c>
      <c r="DP121" s="5">
        <f t="shared" ca="1" si="129"/>
        <v>1.012</v>
      </c>
      <c r="DQ121" s="5">
        <f t="shared" ca="1" si="130"/>
        <v>1.1339999999999999</v>
      </c>
      <c r="DR121" s="5">
        <f t="shared" ca="1" si="131"/>
        <v>1.1260000000000001</v>
      </c>
      <c r="DS121" s="5">
        <f t="shared" ca="1" si="132"/>
        <v>1.0679999999999998</v>
      </c>
      <c r="DU121">
        <f t="shared" si="139"/>
        <v>82</v>
      </c>
      <c r="DV121" s="5">
        <v>391.71</v>
      </c>
      <c r="DW121" s="5">
        <v>374.2272706082656</v>
      </c>
      <c r="DX121" s="5">
        <v>370.23371344021723</v>
      </c>
      <c r="DY121" s="5">
        <v>386.98204116585924</v>
      </c>
      <c r="DZ121" s="5">
        <v>210.55</v>
      </c>
      <c r="EA121" s="5">
        <v>155.83000000000001</v>
      </c>
      <c r="EB121" s="5">
        <v>154.16636298311349</v>
      </c>
      <c r="EC121" s="5">
        <v>208.0091215490234</v>
      </c>
      <c r="EE121">
        <f t="shared" si="140"/>
        <v>82</v>
      </c>
      <c r="EF121" s="5">
        <v>6.5233333333333325</v>
      </c>
      <c r="EG121" s="5">
        <v>6.2293333333333329</v>
      </c>
      <c r="EH121" s="5">
        <v>6.1659999999999995</v>
      </c>
      <c r="EI121" s="5">
        <v>6.440666666666667</v>
      </c>
      <c r="EJ121" s="5">
        <v>8.5719999999999992</v>
      </c>
      <c r="EK121" s="5">
        <v>8.2466666666666679</v>
      </c>
      <c r="EL121" s="5">
        <v>8.1560000000000006</v>
      </c>
      <c r="EM121" s="5">
        <v>8.4680000000000017</v>
      </c>
      <c r="EO121">
        <f t="shared" si="141"/>
        <v>82</v>
      </c>
      <c r="EP121" s="5">
        <v>1.1879999999999999</v>
      </c>
      <c r="EQ121" s="5">
        <v>1.1400000000000001</v>
      </c>
      <c r="ER121" s="5">
        <v>1.1319999999999999</v>
      </c>
      <c r="ES121" s="5">
        <v>1.1719999999999999</v>
      </c>
      <c r="ET121" s="5">
        <v>1.012</v>
      </c>
      <c r="EU121" s="5">
        <v>1.1339999999999999</v>
      </c>
      <c r="EV121" s="5">
        <v>1.1260000000000001</v>
      </c>
      <c r="EW121" s="5">
        <v>1.0679999999999998</v>
      </c>
    </row>
    <row r="122" spans="8:153">
      <c r="I122" t="s">
        <v>487</v>
      </c>
      <c r="J122" s="112">
        <f ca="1">SUM(J98:J121)</f>
        <v>4521.3999999999996</v>
      </c>
      <c r="K122" s="112">
        <f t="shared" ref="K122:M122" ca="1" si="158">SUM(K98:K121)</f>
        <v>7589.17</v>
      </c>
      <c r="L122" s="112">
        <f t="shared" ca="1" si="158"/>
        <v>7533.9300030796076</v>
      </c>
      <c r="M122" s="112">
        <f t="shared" ca="1" si="158"/>
        <v>4510.8292013979208</v>
      </c>
      <c r="AO122">
        <f t="shared" ref="AO122" si="159">AO121+1</f>
        <v>22.5</v>
      </c>
      <c r="AP122" s="5">
        <v>323.20999999999998</v>
      </c>
      <c r="AQ122" s="5">
        <v>128.76</v>
      </c>
      <c r="AR122" s="5">
        <v>323.77</v>
      </c>
      <c r="AS122" s="5">
        <v>124.33</v>
      </c>
      <c r="AT122" s="5">
        <v>326.35000000000002</v>
      </c>
      <c r="AU122" s="5">
        <v>120.78</v>
      </c>
      <c r="AV122" s="5">
        <v>325.73</v>
      </c>
      <c r="AW122" s="5">
        <v>115.78</v>
      </c>
      <c r="AX122" s="5">
        <v>330.43</v>
      </c>
      <c r="AY122" s="5">
        <v>115</v>
      </c>
      <c r="AZ122" s="5">
        <v>339.23</v>
      </c>
      <c r="BA122" s="5">
        <v>117</v>
      </c>
      <c r="BB122">
        <f t="shared" si="120"/>
        <v>22.5</v>
      </c>
      <c r="BC122" s="5">
        <v>321.02999999999997</v>
      </c>
      <c r="BD122" s="5">
        <v>127.32</v>
      </c>
      <c r="BE122" s="5">
        <v>330.45</v>
      </c>
      <c r="BF122" s="5">
        <v>127.71</v>
      </c>
      <c r="BG122" s="5">
        <v>326.56</v>
      </c>
      <c r="BH122" s="5">
        <v>119.93</v>
      </c>
      <c r="BI122" s="5">
        <v>327.17</v>
      </c>
      <c r="BJ122" s="5">
        <v>115.68</v>
      </c>
      <c r="BK122" s="5">
        <v>331.46</v>
      </c>
      <c r="BL122" s="5">
        <v>113.37</v>
      </c>
      <c r="BM122" s="5">
        <v>326.75</v>
      </c>
      <c r="BN122" s="5">
        <v>108.73</v>
      </c>
      <c r="BO122">
        <f t="shared" si="121"/>
        <v>22.5</v>
      </c>
      <c r="BP122" s="5">
        <v>325.22000000000003</v>
      </c>
      <c r="BQ122" s="5">
        <v>123.22</v>
      </c>
      <c r="BR122">
        <v>331.45</v>
      </c>
      <c r="BS122">
        <v>122.44</v>
      </c>
      <c r="BT122" s="5">
        <v>329.77</v>
      </c>
      <c r="BU122" s="5">
        <v>118.43</v>
      </c>
      <c r="BV122" s="5">
        <v>330.55</v>
      </c>
      <c r="BW122" s="5">
        <v>115.12</v>
      </c>
      <c r="BX122" s="5">
        <v>329.04</v>
      </c>
      <c r="BY122" s="5">
        <v>110.18</v>
      </c>
      <c r="BZ122">
        <f t="shared" si="122"/>
        <v>22.5</v>
      </c>
      <c r="CA122" s="5">
        <v>334.58</v>
      </c>
      <c r="CB122" s="5">
        <v>126.49</v>
      </c>
      <c r="CC122" s="5">
        <v>332.94</v>
      </c>
      <c r="CD122" s="5">
        <v>121.94</v>
      </c>
      <c r="CE122" s="5">
        <v>338.78</v>
      </c>
      <c r="CF122" s="5">
        <v>121.22</v>
      </c>
      <c r="CG122" s="5">
        <v>331</v>
      </c>
      <c r="CH122" s="5">
        <v>114.96</v>
      </c>
      <c r="CI122" s="5">
        <v>332.88</v>
      </c>
      <c r="CJ122" s="5">
        <v>111.38</v>
      </c>
      <c r="CM122" s="18" t="s">
        <v>153</v>
      </c>
      <c r="CN122" s="20">
        <v>48.54477</v>
      </c>
      <c r="CO122" s="20">
        <v>-109.69046</v>
      </c>
      <c r="CP122" s="19">
        <v>0.29299999999999998</v>
      </c>
      <c r="CQ122" s="19">
        <v>0.38299999999999995</v>
      </c>
      <c r="CR122" s="19">
        <v>0.315</v>
      </c>
      <c r="CS122" s="19">
        <v>0.33599999999999997</v>
      </c>
      <c r="CT122" s="98">
        <v>274.26111111111112</v>
      </c>
      <c r="CU122" s="98">
        <v>292.59444444444449</v>
      </c>
      <c r="CV122" s="98">
        <v>302.03888888888895</v>
      </c>
      <c r="CW122" s="98">
        <v>278.70555555555558</v>
      </c>
      <c r="CX122" s="104">
        <v>1</v>
      </c>
      <c r="CY122" s="104">
        <v>2</v>
      </c>
      <c r="CZ122" s="104">
        <v>3</v>
      </c>
      <c r="DA122" s="104">
        <v>4</v>
      </c>
      <c r="DB122" s="104">
        <v>1</v>
      </c>
      <c r="DG122">
        <f t="shared" si="134"/>
        <v>83</v>
      </c>
      <c r="DH122" s="5">
        <f t="shared" ca="1" si="135"/>
        <v>178.31</v>
      </c>
      <c r="DI122" s="5">
        <f t="shared" ca="1" si="136"/>
        <v>129.38</v>
      </c>
      <c r="DJ122" s="5">
        <f t="shared" ca="1" si="137"/>
        <v>127.99874249345582</v>
      </c>
      <c r="DK122" s="5">
        <f t="shared" ca="1" si="138"/>
        <v>176.15818790504088</v>
      </c>
      <c r="DL122" s="5">
        <f t="shared" ca="1" si="125"/>
        <v>7.6513333333333327</v>
      </c>
      <c r="DM122" s="5">
        <f t="shared" ca="1" si="126"/>
        <v>7.3583333333333343</v>
      </c>
      <c r="DN122" s="5">
        <f t="shared" ca="1" si="127"/>
        <v>7.2773333333333339</v>
      </c>
      <c r="DO122" s="5">
        <f t="shared" ca="1" si="128"/>
        <v>7.5586666666666682</v>
      </c>
      <c r="DP122" s="5">
        <f t="shared" ca="1" si="129"/>
        <v>0.90300000000000002</v>
      </c>
      <c r="DQ122" s="5">
        <f t="shared" ca="1" si="130"/>
        <v>1.0259999999999998</v>
      </c>
      <c r="DR122" s="5">
        <f t="shared" ca="1" si="131"/>
        <v>1.0190000000000001</v>
      </c>
      <c r="DS122" s="5">
        <f t="shared" ca="1" si="132"/>
        <v>0.95199999999999985</v>
      </c>
      <c r="DU122">
        <f t="shared" si="139"/>
        <v>83</v>
      </c>
      <c r="DV122" s="5">
        <v>352.86</v>
      </c>
      <c r="DW122" s="5">
        <v>337.11121673389141</v>
      </c>
      <c r="DX122" s="5">
        <v>333.51374262723715</v>
      </c>
      <c r="DY122" s="5">
        <v>348.60096256359327</v>
      </c>
      <c r="DZ122" s="5">
        <v>178.31</v>
      </c>
      <c r="EA122" s="5">
        <v>129.38</v>
      </c>
      <c r="EB122" s="5">
        <v>127.99874249345582</v>
      </c>
      <c r="EC122" s="5">
        <v>176.15818790504088</v>
      </c>
      <c r="EE122">
        <f t="shared" si="140"/>
        <v>83</v>
      </c>
      <c r="EF122" s="5">
        <v>5.8699999999999992</v>
      </c>
      <c r="EG122" s="5">
        <v>5.6056666666666661</v>
      </c>
      <c r="EH122" s="5">
        <v>5.5489999999999995</v>
      </c>
      <c r="EI122" s="5">
        <v>5.7960000000000003</v>
      </c>
      <c r="EJ122" s="5">
        <v>7.6513333333333327</v>
      </c>
      <c r="EK122" s="5">
        <v>7.3583333333333343</v>
      </c>
      <c r="EL122" s="5">
        <v>7.2773333333333339</v>
      </c>
      <c r="EM122" s="5">
        <v>7.5586666666666682</v>
      </c>
      <c r="EO122">
        <f t="shared" si="141"/>
        <v>83</v>
      </c>
      <c r="EP122" s="5">
        <v>1.0669999999999999</v>
      </c>
      <c r="EQ122" s="5">
        <v>1.0250000000000001</v>
      </c>
      <c r="ER122" s="5">
        <v>1.0179999999999998</v>
      </c>
      <c r="ES122" s="5">
        <v>1.0529999999999999</v>
      </c>
      <c r="ET122" s="5">
        <v>0.90300000000000002</v>
      </c>
      <c r="EU122" s="5">
        <v>1.0259999999999998</v>
      </c>
      <c r="EV122" s="5">
        <v>1.0190000000000001</v>
      </c>
      <c r="EW122" s="5">
        <v>0.95199999999999985</v>
      </c>
    </row>
    <row r="123" spans="8:153">
      <c r="AO123">
        <f t="shared" ref="AO123" si="160">AO122+1</f>
        <v>23.5</v>
      </c>
      <c r="AP123" s="5">
        <v>340.53</v>
      </c>
      <c r="AQ123" s="5">
        <v>135.72</v>
      </c>
      <c r="AR123" s="5">
        <v>340.15</v>
      </c>
      <c r="AS123" s="5">
        <v>130.34</v>
      </c>
      <c r="AT123" s="5">
        <v>342.34</v>
      </c>
      <c r="AU123" s="5">
        <v>126.1</v>
      </c>
      <c r="AV123" s="5">
        <v>340.97</v>
      </c>
      <c r="AW123" s="5">
        <v>120.99</v>
      </c>
      <c r="AX123" s="5">
        <v>345.89</v>
      </c>
      <c r="AY123" s="5">
        <v>119.1</v>
      </c>
      <c r="AZ123" s="5">
        <v>355.29</v>
      </c>
      <c r="BA123" s="5">
        <v>119.38</v>
      </c>
      <c r="BB123">
        <f t="shared" si="120"/>
        <v>23.5</v>
      </c>
      <c r="BC123" s="5">
        <v>337.69</v>
      </c>
      <c r="BD123" s="5">
        <v>134.36000000000001</v>
      </c>
      <c r="BE123" s="5">
        <v>348.23</v>
      </c>
      <c r="BF123" s="5">
        <v>132.53</v>
      </c>
      <c r="BG123" s="5">
        <v>342.44</v>
      </c>
      <c r="BH123" s="5">
        <v>125.16</v>
      </c>
      <c r="BI123" s="5">
        <v>342.51</v>
      </c>
      <c r="BJ123" s="5">
        <v>120.55</v>
      </c>
      <c r="BK123" s="5">
        <v>346.78</v>
      </c>
      <c r="BL123" s="5">
        <v>117.19</v>
      </c>
      <c r="BM123" s="5">
        <v>341.39</v>
      </c>
      <c r="BN123" s="5">
        <v>113.15</v>
      </c>
      <c r="BO123">
        <f t="shared" si="121"/>
        <v>23.5</v>
      </c>
      <c r="BP123" s="5">
        <v>341.54</v>
      </c>
      <c r="BQ123" s="5">
        <v>128.93</v>
      </c>
      <c r="BR123">
        <v>348.13</v>
      </c>
      <c r="BS123">
        <v>126.66</v>
      </c>
      <c r="BT123" s="5">
        <v>345.66</v>
      </c>
      <c r="BU123" s="5">
        <v>122.88</v>
      </c>
      <c r="BV123" s="5">
        <v>346.03</v>
      </c>
      <c r="BW123" s="5">
        <v>119.21</v>
      </c>
      <c r="BX123" s="5">
        <v>343.92</v>
      </c>
      <c r="BY123" s="5">
        <v>114.22</v>
      </c>
      <c r="BZ123">
        <f t="shared" si="122"/>
        <v>23.5</v>
      </c>
      <c r="CA123" s="5">
        <v>352.31</v>
      </c>
      <c r="CB123" s="5">
        <v>130.08000000000001</v>
      </c>
      <c r="CC123" s="5">
        <v>349.61</v>
      </c>
      <c r="CD123" s="5">
        <v>125.82</v>
      </c>
      <c r="CE123" s="5">
        <v>355.54</v>
      </c>
      <c r="CF123" s="5">
        <v>123.83</v>
      </c>
      <c r="CG123" s="5">
        <v>346.48</v>
      </c>
      <c r="CH123" s="5">
        <v>118.93</v>
      </c>
      <c r="CI123" s="5">
        <v>348.05</v>
      </c>
      <c r="CJ123" s="5">
        <v>114.77</v>
      </c>
      <c r="CM123" s="18" t="s">
        <v>154</v>
      </c>
      <c r="CN123" s="20">
        <v>46.594250000000002</v>
      </c>
      <c r="CO123" s="20">
        <v>-112.01501</v>
      </c>
      <c r="CP123" s="19">
        <v>0.36399999999999993</v>
      </c>
      <c r="CQ123" s="19">
        <v>0.45700000000000002</v>
      </c>
      <c r="CR123" s="19">
        <v>0.33900000000000002</v>
      </c>
      <c r="CS123" s="19">
        <v>0.38900000000000001</v>
      </c>
      <c r="CT123" s="98">
        <v>277.03888888888889</v>
      </c>
      <c r="CU123" s="98">
        <v>292.59444444444449</v>
      </c>
      <c r="CV123" s="98">
        <v>302.59444444444449</v>
      </c>
      <c r="CW123" s="98">
        <v>279.26111111111112</v>
      </c>
      <c r="CX123" s="104">
        <v>1</v>
      </c>
      <c r="CY123" s="104">
        <v>2</v>
      </c>
      <c r="CZ123" s="104">
        <v>3</v>
      </c>
      <c r="DA123" s="104">
        <v>4</v>
      </c>
      <c r="DB123" s="104">
        <v>1</v>
      </c>
      <c r="DG123">
        <f t="shared" si="134"/>
        <v>84</v>
      </c>
      <c r="DH123" s="5">
        <f t="shared" ca="1" si="135"/>
        <v>145.41999999999999</v>
      </c>
      <c r="DI123" s="5">
        <f t="shared" ca="1" si="136"/>
        <v>102.95</v>
      </c>
      <c r="DJ123" s="5">
        <f t="shared" ca="1" si="137"/>
        <v>101.85090848431965</v>
      </c>
      <c r="DK123" s="5">
        <f t="shared" ca="1" si="138"/>
        <v>143.66509834081683</v>
      </c>
      <c r="DL123" s="5">
        <f t="shared" ca="1" si="125"/>
        <v>6.7306666666666661</v>
      </c>
      <c r="DM123" s="5">
        <f t="shared" ca="1" si="126"/>
        <v>6.4700000000000006</v>
      </c>
      <c r="DN123" s="5">
        <f t="shared" ca="1" si="127"/>
        <v>6.3986666666666672</v>
      </c>
      <c r="DO123" s="5">
        <f t="shared" ca="1" si="128"/>
        <v>6.6493333333333347</v>
      </c>
      <c r="DP123" s="5">
        <f t="shared" ca="1" si="129"/>
        <v>0.79400000000000004</v>
      </c>
      <c r="DQ123" s="5">
        <f t="shared" ca="1" si="130"/>
        <v>0.91799999999999982</v>
      </c>
      <c r="DR123" s="5">
        <f t="shared" ca="1" si="131"/>
        <v>0.91200000000000014</v>
      </c>
      <c r="DS123" s="5">
        <f t="shared" ca="1" si="132"/>
        <v>0.83599999999999985</v>
      </c>
      <c r="DU123">
        <f t="shared" si="139"/>
        <v>84</v>
      </c>
      <c r="DV123" s="5">
        <v>310.77999999999997</v>
      </c>
      <c r="DW123" s="5">
        <v>296.90932363135175</v>
      </c>
      <c r="DX123" s="5">
        <v>293.74086304396292</v>
      </c>
      <c r="DY123" s="5">
        <v>307.02887021910533</v>
      </c>
      <c r="DZ123" s="5">
        <v>145.41999999999999</v>
      </c>
      <c r="EA123" s="5">
        <v>102.95</v>
      </c>
      <c r="EB123" s="5">
        <v>101.85090848431965</v>
      </c>
      <c r="EC123" s="5">
        <v>143.66509834081683</v>
      </c>
      <c r="EE123">
        <f t="shared" si="140"/>
        <v>84</v>
      </c>
      <c r="EF123" s="5">
        <v>5.2166666666666659</v>
      </c>
      <c r="EG123" s="5">
        <v>4.9819999999999993</v>
      </c>
      <c r="EH123" s="5">
        <v>4.9319999999999995</v>
      </c>
      <c r="EI123" s="5">
        <v>5.1513333333333335</v>
      </c>
      <c r="EJ123" s="5">
        <v>6.7306666666666661</v>
      </c>
      <c r="EK123" s="5">
        <v>6.4700000000000006</v>
      </c>
      <c r="EL123" s="5">
        <v>6.3986666666666672</v>
      </c>
      <c r="EM123" s="5">
        <v>6.6493333333333347</v>
      </c>
      <c r="EO123">
        <f t="shared" si="141"/>
        <v>84</v>
      </c>
      <c r="EP123" s="5">
        <v>0.94599999999999995</v>
      </c>
      <c r="EQ123" s="5">
        <v>0.91000000000000014</v>
      </c>
      <c r="ER123" s="5">
        <v>0.9039999999999998</v>
      </c>
      <c r="ES123" s="5">
        <v>0.93399999999999994</v>
      </c>
      <c r="ET123" s="5">
        <v>0.79400000000000004</v>
      </c>
      <c r="EU123" s="5">
        <v>0.91799999999999982</v>
      </c>
      <c r="EV123" s="5">
        <v>0.91200000000000014</v>
      </c>
      <c r="EW123" s="5">
        <v>0.83599999999999985</v>
      </c>
    </row>
    <row r="124" spans="8:153">
      <c r="I124" s="170" t="s">
        <v>464</v>
      </c>
      <c r="J124" s="170"/>
      <c r="K124" s="170"/>
      <c r="L124" s="170"/>
      <c r="M124" s="170"/>
      <c r="O124" s="170" t="s">
        <v>485</v>
      </c>
      <c r="P124" s="170"/>
      <c r="Q124" s="170"/>
      <c r="R124" s="170"/>
      <c r="S124" s="170"/>
      <c r="U124" s="170" t="s">
        <v>481</v>
      </c>
      <c r="V124" s="170"/>
      <c r="W124" s="170"/>
      <c r="X124" s="170"/>
      <c r="Y124" s="170"/>
      <c r="CM124" s="18" t="s">
        <v>155</v>
      </c>
      <c r="CN124" s="20">
        <v>48.210450000000002</v>
      </c>
      <c r="CO124" s="20">
        <v>-114.31361</v>
      </c>
      <c r="CP124" s="19">
        <v>0.42099999999999999</v>
      </c>
      <c r="CQ124" s="19">
        <v>0.42899999999999999</v>
      </c>
      <c r="CR124" s="19">
        <v>0.33200000000000002</v>
      </c>
      <c r="CS124" s="19">
        <v>0.49399999999999999</v>
      </c>
      <c r="CT124" s="98">
        <v>275.37222222222221</v>
      </c>
      <c r="CU124" s="98">
        <v>291.48333333333335</v>
      </c>
      <c r="CV124" s="98">
        <v>300.37222222222226</v>
      </c>
      <c r="CW124" s="98">
        <v>277.59444444444443</v>
      </c>
      <c r="CX124" s="104">
        <v>1</v>
      </c>
      <c r="CY124" s="104">
        <v>2</v>
      </c>
      <c r="CZ124" s="104">
        <v>3</v>
      </c>
      <c r="DA124" s="104">
        <v>4</v>
      </c>
      <c r="DB124" s="104">
        <v>1</v>
      </c>
      <c r="DG124">
        <f t="shared" si="134"/>
        <v>85</v>
      </c>
      <c r="DH124" s="5">
        <f t="shared" ca="1" si="135"/>
        <v>112.39</v>
      </c>
      <c r="DI124" s="5">
        <f t="shared" ca="1" si="136"/>
        <v>77.08</v>
      </c>
      <c r="DJ124" s="5">
        <f t="shared" ca="1" si="137"/>
        <v>76.257095929784938</v>
      </c>
      <c r="DK124" s="5">
        <f t="shared" ca="1" si="138"/>
        <v>111.03369827069456</v>
      </c>
      <c r="DL124" s="5">
        <f t="shared" ca="1" si="125"/>
        <v>5.81</v>
      </c>
      <c r="DM124" s="5">
        <f t="shared" ca="1" si="126"/>
        <v>5.581666666666667</v>
      </c>
      <c r="DN124" s="5">
        <f t="shared" ca="1" si="127"/>
        <v>5.5200000000000005</v>
      </c>
      <c r="DO124" s="5">
        <f t="shared" ca="1" si="128"/>
        <v>5.7400000000000011</v>
      </c>
      <c r="DP124" s="5">
        <f t="shared" ca="1" si="129"/>
        <v>0.68500000000000005</v>
      </c>
      <c r="DQ124" s="5">
        <f t="shared" ca="1" si="130"/>
        <v>0.80999999999999983</v>
      </c>
      <c r="DR124" s="5">
        <f t="shared" ca="1" si="131"/>
        <v>0.80500000000000016</v>
      </c>
      <c r="DS124" s="5">
        <f t="shared" ca="1" si="132"/>
        <v>0.71999999999999986</v>
      </c>
      <c r="DU124">
        <f t="shared" si="139"/>
        <v>85</v>
      </c>
      <c r="DV124" s="5">
        <v>265.24</v>
      </c>
      <c r="DW124" s="5">
        <v>253.40185661876484</v>
      </c>
      <c r="DX124" s="5">
        <v>250.69768490179783</v>
      </c>
      <c r="DY124" s="5">
        <v>262.03854024363056</v>
      </c>
      <c r="DZ124" s="5">
        <v>112.39</v>
      </c>
      <c r="EA124" s="5">
        <v>77.08</v>
      </c>
      <c r="EB124" s="5">
        <v>76.257095929784938</v>
      </c>
      <c r="EC124" s="5">
        <v>111.03369827069456</v>
      </c>
      <c r="EE124">
        <f t="shared" si="140"/>
        <v>85</v>
      </c>
      <c r="EF124" s="5">
        <v>4.5633333333333326</v>
      </c>
      <c r="EG124" s="5">
        <v>4.3583333333333325</v>
      </c>
      <c r="EH124" s="5">
        <v>4.3149999999999995</v>
      </c>
      <c r="EI124" s="5">
        <v>4.5066666666666668</v>
      </c>
      <c r="EJ124" s="5">
        <v>5.81</v>
      </c>
      <c r="EK124" s="5">
        <v>5.581666666666667</v>
      </c>
      <c r="EL124" s="5">
        <v>5.5200000000000005</v>
      </c>
      <c r="EM124" s="5">
        <v>5.7400000000000011</v>
      </c>
      <c r="EO124">
        <f t="shared" si="141"/>
        <v>85</v>
      </c>
      <c r="EP124" s="5">
        <v>0.82499999999999996</v>
      </c>
      <c r="EQ124" s="5">
        <v>0.79500000000000015</v>
      </c>
      <c r="ER124" s="5">
        <v>0.78999999999999981</v>
      </c>
      <c r="ES124" s="5">
        <v>0.81499999999999995</v>
      </c>
      <c r="ET124" s="5">
        <v>0.68500000000000005</v>
      </c>
      <c r="EU124" s="5">
        <v>0.80999999999999983</v>
      </c>
      <c r="EV124" s="5">
        <v>0.80500000000000016</v>
      </c>
      <c r="EW124" s="5">
        <v>0.71999999999999986</v>
      </c>
    </row>
    <row r="125" spans="8:153">
      <c r="H125" s="99" t="s">
        <v>288</v>
      </c>
      <c r="I125" s="99" t="s">
        <v>289</v>
      </c>
      <c r="J125" s="99" t="s">
        <v>0</v>
      </c>
      <c r="K125" s="99" t="s">
        <v>3</v>
      </c>
      <c r="L125" s="99" t="s">
        <v>4</v>
      </c>
      <c r="M125" s="99" t="s">
        <v>5</v>
      </c>
      <c r="O125" s="99" t="s">
        <v>289</v>
      </c>
      <c r="P125" s="99" t="s">
        <v>0</v>
      </c>
      <c r="Q125" s="99" t="s">
        <v>3</v>
      </c>
      <c r="R125" s="99" t="s">
        <v>4</v>
      </c>
      <c r="S125" s="99" t="s">
        <v>5</v>
      </c>
      <c r="U125" s="99" t="s">
        <v>289</v>
      </c>
      <c r="V125" s="99" t="s">
        <v>0</v>
      </c>
      <c r="W125" s="99" t="s">
        <v>3</v>
      </c>
      <c r="X125" s="99" t="s">
        <v>4</v>
      </c>
      <c r="Y125" s="99" t="s">
        <v>5</v>
      </c>
      <c r="CM125" s="13" t="s">
        <v>156</v>
      </c>
      <c r="CN125" s="20">
        <v>46.405709999999999</v>
      </c>
      <c r="CO125" s="20">
        <v>-105.83177999999999</v>
      </c>
      <c r="CP125" s="19">
        <v>0.24999999999999994</v>
      </c>
      <c r="CQ125" s="19">
        <v>0.35200000000000004</v>
      </c>
      <c r="CR125" s="19">
        <v>0.27100000000000002</v>
      </c>
      <c r="CS125" s="19">
        <v>0.254</v>
      </c>
      <c r="CT125" s="98">
        <v>274.81666666666666</v>
      </c>
      <c r="CU125" s="98">
        <v>293.70555555555558</v>
      </c>
      <c r="CV125" s="98">
        <v>303.70555555555558</v>
      </c>
      <c r="CW125" s="98">
        <v>279.26111111111112</v>
      </c>
      <c r="CX125" s="104">
        <v>1</v>
      </c>
      <c r="CY125" s="104">
        <v>2</v>
      </c>
      <c r="CZ125" s="104">
        <v>3</v>
      </c>
      <c r="DA125" s="104">
        <v>4</v>
      </c>
      <c r="DB125" s="104">
        <v>1</v>
      </c>
      <c r="DG125">
        <f t="shared" si="134"/>
        <v>86</v>
      </c>
      <c r="DH125" s="5">
        <f t="shared" ca="1" si="135"/>
        <v>80.069999999999993</v>
      </c>
      <c r="DI125" s="5">
        <f t="shared" ca="1" si="136"/>
        <v>52.72</v>
      </c>
      <c r="DJ125" s="5">
        <f t="shared" ca="1" si="137"/>
        <v>52.157162654621978</v>
      </c>
      <c r="DK125" s="5">
        <f t="shared" ca="1" si="138"/>
        <v>79.103730051913089</v>
      </c>
      <c r="DL125" s="5">
        <f t="shared" ca="1" si="125"/>
        <v>4.8893333333333331</v>
      </c>
      <c r="DM125" s="5">
        <f t="shared" ca="1" si="126"/>
        <v>4.6933333333333334</v>
      </c>
      <c r="DN125" s="5">
        <f t="shared" ca="1" si="127"/>
        <v>4.6413333333333338</v>
      </c>
      <c r="DO125" s="5">
        <f t="shared" ca="1" si="128"/>
        <v>4.8306666666666676</v>
      </c>
      <c r="DP125" s="5">
        <f t="shared" ca="1" si="129"/>
        <v>0.57600000000000007</v>
      </c>
      <c r="DQ125" s="5">
        <f t="shared" ca="1" si="130"/>
        <v>0.70199999999999985</v>
      </c>
      <c r="DR125" s="5">
        <f t="shared" ca="1" si="131"/>
        <v>0.69800000000000018</v>
      </c>
      <c r="DS125" s="5">
        <f t="shared" ca="1" si="132"/>
        <v>0.60399999999999987</v>
      </c>
      <c r="DU125">
        <f t="shared" si="139"/>
        <v>86</v>
      </c>
      <c r="DV125" s="5">
        <v>216.29</v>
      </c>
      <c r="DW125" s="5">
        <v>206.63658410523541</v>
      </c>
      <c r="DX125" s="5">
        <v>204.43146685043678</v>
      </c>
      <c r="DY125" s="5">
        <v>213.67936913472647</v>
      </c>
      <c r="DZ125" s="5">
        <v>80.069999999999993</v>
      </c>
      <c r="EA125" s="5">
        <v>52.72</v>
      </c>
      <c r="EB125" s="5">
        <v>52.157162654621978</v>
      </c>
      <c r="EC125" s="5">
        <v>79.103730051913089</v>
      </c>
      <c r="EE125">
        <f t="shared" si="140"/>
        <v>86</v>
      </c>
      <c r="EF125" s="5">
        <v>3.9099999999999993</v>
      </c>
      <c r="EG125" s="5">
        <v>3.7346666666666657</v>
      </c>
      <c r="EH125" s="5">
        <v>3.6979999999999995</v>
      </c>
      <c r="EI125" s="5">
        <v>3.8620000000000001</v>
      </c>
      <c r="EJ125" s="5">
        <v>4.8893333333333331</v>
      </c>
      <c r="EK125" s="5">
        <v>4.6933333333333334</v>
      </c>
      <c r="EL125" s="5">
        <v>4.6413333333333338</v>
      </c>
      <c r="EM125" s="5">
        <v>4.8306666666666676</v>
      </c>
      <c r="EO125">
        <f t="shared" si="141"/>
        <v>86</v>
      </c>
      <c r="EP125" s="5">
        <v>0.70399999999999996</v>
      </c>
      <c r="EQ125" s="5">
        <v>0.68000000000000016</v>
      </c>
      <c r="ER125" s="5">
        <v>0.67599999999999982</v>
      </c>
      <c r="ES125" s="5">
        <v>0.69599999999999995</v>
      </c>
      <c r="ET125" s="5">
        <v>0.57600000000000007</v>
      </c>
      <c r="EU125" s="5">
        <v>0.70199999999999985</v>
      </c>
      <c r="EV125" s="5">
        <v>0.69800000000000018</v>
      </c>
      <c r="EW125" s="5">
        <v>0.60399999999999987</v>
      </c>
    </row>
    <row r="126" spans="8:153">
      <c r="H126" t="s">
        <v>264</v>
      </c>
      <c r="I126" s="100">
        <v>0.5</v>
      </c>
      <c r="J126" s="5">
        <f ca="1">IF(AND(K40&gt;=0,K40&lt;=90),VLOOKUP(INT(K40),$DG$39:$DS$129,6,FALSE),0)</f>
        <v>0</v>
      </c>
      <c r="K126" s="5">
        <f ca="1">IF(AND(M40&gt;=0,M40&lt;=90),VLOOKUP(INT(M40),$DG$39:$DS$129,7,FALSE),0)</f>
        <v>0</v>
      </c>
      <c r="L126" s="5">
        <f ca="1">IF(AND(O40&gt;=0,O40&lt;=90),VLOOKUP(INT(O40),$DG$39:$DS$129,8,FALSE),0)</f>
        <v>0</v>
      </c>
      <c r="M126" s="5">
        <f ca="1">IF(AND(Q40&gt;=0,Q40&lt;=90),VLOOKUP(INT(Q40),$DG$39:$DS$129,9,FALSE),0)</f>
        <v>0</v>
      </c>
      <c r="O126" s="100">
        <v>0.5</v>
      </c>
      <c r="P126" s="5">
        <f ca="1">$D$9*$D$45*$D$60*$D$59*(1-$D$37)*J126*$D$18</f>
        <v>0</v>
      </c>
      <c r="Q126" s="5">
        <f ca="1">$D$9*$D$46*$D$61*$D$59*(1-$D$38)*K126*$D$18</f>
        <v>0</v>
      </c>
      <c r="R126" s="5">
        <f ca="1">$D$9*$D$47*$D$61*$D$59*(1-$D$39)*L126*$D$18</f>
        <v>0</v>
      </c>
      <c r="S126" s="5">
        <f ca="1">$D$9*$D$48*$D$60*$D$59*(1-$D$40)*M126*$D$18</f>
        <v>0</v>
      </c>
      <c r="U126" s="100">
        <v>0.5</v>
      </c>
      <c r="V126" s="5">
        <f ca="1">$D$49*(1-$D$37)*$D$60*J126</f>
        <v>0</v>
      </c>
      <c r="W126" s="5">
        <f ca="1">$D$50*(1-$D$38)*$D$61*K126</f>
        <v>0</v>
      </c>
      <c r="X126" s="5">
        <f ca="1">$D$51*(1-$D$39)*$D$61*L126</f>
        <v>0</v>
      </c>
      <c r="Y126" s="5">
        <f ca="1">$D$52*(1-$D$40)*$D$60*M126</f>
        <v>0</v>
      </c>
      <c r="CM126" s="13" t="s">
        <v>157</v>
      </c>
      <c r="CN126" s="20">
        <v>46.854579999999999</v>
      </c>
      <c r="CO126" s="20">
        <v>-114.06641</v>
      </c>
      <c r="CP126" s="19">
        <v>0.47600000000000003</v>
      </c>
      <c r="CQ126" s="19">
        <v>0.50099999999999989</v>
      </c>
      <c r="CR126" s="19">
        <v>0.34</v>
      </c>
      <c r="CS126" s="19">
        <v>0.50600000000000001</v>
      </c>
      <c r="CT126" s="98">
        <v>277.03888888888889</v>
      </c>
      <c r="CU126" s="98">
        <v>292.59444444444449</v>
      </c>
      <c r="CV126" s="98">
        <v>302.59444444444449</v>
      </c>
      <c r="CW126" s="98">
        <v>278.70555555555558</v>
      </c>
      <c r="CX126" s="104">
        <v>1</v>
      </c>
      <c r="CY126" s="104">
        <v>2</v>
      </c>
      <c r="CZ126" s="104">
        <v>3</v>
      </c>
      <c r="DA126" s="104">
        <v>4</v>
      </c>
      <c r="DB126" s="104">
        <v>1</v>
      </c>
      <c r="DG126">
        <f t="shared" si="134"/>
        <v>87</v>
      </c>
      <c r="DH126" s="5">
        <f t="shared" ca="1" si="135"/>
        <v>49.94</v>
      </c>
      <c r="DI126" s="5">
        <f t="shared" ca="1" si="136"/>
        <v>30.99</v>
      </c>
      <c r="DJ126" s="5">
        <f t="shared" ca="1" si="137"/>
        <v>30.659151568033664</v>
      </c>
      <c r="DK126" s="5">
        <f t="shared" ca="1" si="138"/>
        <v>49.337333318253279</v>
      </c>
      <c r="DL126" s="5">
        <f t="shared" ca="1" si="125"/>
        <v>3.9686666666666666</v>
      </c>
      <c r="DM126" s="5">
        <f t="shared" ca="1" si="126"/>
        <v>3.8049999999999997</v>
      </c>
      <c r="DN126" s="5">
        <f t="shared" ca="1" si="127"/>
        <v>3.762666666666667</v>
      </c>
      <c r="DO126" s="5">
        <f t="shared" ca="1" si="128"/>
        <v>3.921333333333334</v>
      </c>
      <c r="DP126" s="5">
        <f t="shared" ca="1" si="129"/>
        <v>0.46700000000000008</v>
      </c>
      <c r="DQ126" s="5">
        <f t="shared" ca="1" si="130"/>
        <v>0.59399999999999986</v>
      </c>
      <c r="DR126" s="5">
        <f t="shared" ca="1" si="131"/>
        <v>0.59100000000000019</v>
      </c>
      <c r="DS126" s="5">
        <f t="shared" ca="1" si="132"/>
        <v>0.48799999999999988</v>
      </c>
      <c r="DU126">
        <f t="shared" si="139"/>
        <v>87</v>
      </c>
      <c r="DV126" s="5">
        <v>164.14</v>
      </c>
      <c r="DW126" s="5">
        <v>156.81413340900338</v>
      </c>
      <c r="DX126" s="5">
        <v>155.14069521859858</v>
      </c>
      <c r="DY126" s="5">
        <v>162.15882218213508</v>
      </c>
      <c r="DZ126" s="5">
        <v>49.94</v>
      </c>
      <c r="EA126" s="5">
        <v>30.99</v>
      </c>
      <c r="EB126" s="5">
        <v>30.659151568033664</v>
      </c>
      <c r="EC126" s="5">
        <v>49.337333318253279</v>
      </c>
      <c r="EE126">
        <f t="shared" si="140"/>
        <v>87</v>
      </c>
      <c r="EF126" s="5">
        <v>3.2566666666666659</v>
      </c>
      <c r="EG126" s="5">
        <v>3.1109999999999989</v>
      </c>
      <c r="EH126" s="5">
        <v>3.0809999999999995</v>
      </c>
      <c r="EI126" s="5">
        <v>3.2173333333333334</v>
      </c>
      <c r="EJ126" s="5">
        <v>3.9686666666666666</v>
      </c>
      <c r="EK126" s="5">
        <v>3.8049999999999997</v>
      </c>
      <c r="EL126" s="5">
        <v>3.762666666666667</v>
      </c>
      <c r="EM126" s="5">
        <v>3.921333333333334</v>
      </c>
      <c r="EO126">
        <f t="shared" si="141"/>
        <v>87</v>
      </c>
      <c r="EP126" s="5">
        <v>0.58299999999999996</v>
      </c>
      <c r="EQ126" s="5">
        <v>0.56500000000000017</v>
      </c>
      <c r="ER126" s="5">
        <v>0.56199999999999983</v>
      </c>
      <c r="ES126" s="5">
        <v>0.57699999999999996</v>
      </c>
      <c r="ET126" s="5">
        <v>0.46700000000000008</v>
      </c>
      <c r="EU126" s="5">
        <v>0.59399999999999986</v>
      </c>
      <c r="EV126" s="5">
        <v>0.59100000000000019</v>
      </c>
      <c r="EW126" s="5">
        <v>0.48799999999999988</v>
      </c>
    </row>
    <row r="127" spans="8:153">
      <c r="H127" t="s">
        <v>265</v>
      </c>
      <c r="I127" s="100">
        <v>1.5</v>
      </c>
      <c r="J127" s="5">
        <f t="shared" ref="J127:J149" ca="1" si="161">IF(AND(K41&gt;=0,K41&lt;=90),VLOOKUP(INT(K41),$DG$39:$DS$129,6,FALSE),0)</f>
        <v>0</v>
      </c>
      <c r="K127" s="5">
        <f t="shared" ref="K127:K149" ca="1" si="162">IF(AND(M41&gt;=0,M41&lt;=90),VLOOKUP(INT(M41),$DG$39:$DS$129,7,FALSE),0)</f>
        <v>0</v>
      </c>
      <c r="L127" s="5">
        <f t="shared" ref="L127:L149" ca="1" si="163">IF(AND(O41&gt;=0,O41&lt;=90),VLOOKUP(INT(O41),$DG$39:$DS$129,8,FALSE),0)</f>
        <v>0</v>
      </c>
      <c r="M127" s="5">
        <f t="shared" ref="M127:M149" ca="1" si="164">IF(AND(Q41&gt;=0,Q41&lt;=90),VLOOKUP(INT(Q41),$DG$39:$DS$129,9,FALSE),0)</f>
        <v>0</v>
      </c>
      <c r="O127" s="100">
        <v>1.5</v>
      </c>
      <c r="P127" s="5">
        <f t="shared" ref="P127:P149" ca="1" si="165">$D$9*$D$45*$D$60*$D$59*(1-$D$37)*J127*$D$18</f>
        <v>0</v>
      </c>
      <c r="Q127" s="5">
        <f t="shared" ref="Q127:Q149" ca="1" si="166">$D$9*$D$46*$D$61*$D$59*(1-$D$38)*K127*$D$18</f>
        <v>0</v>
      </c>
      <c r="R127" s="5">
        <f t="shared" ref="R127:R149" ca="1" si="167">$D$9*$D$47*$D$61*$D$59*(1-$D$39)*L127*$D$18</f>
        <v>0</v>
      </c>
      <c r="S127" s="5">
        <f t="shared" ref="S127:S149" ca="1" si="168">$D$9*$D$48*$D$60*$D$59*(1-$D$40)*M127*$D$18</f>
        <v>0</v>
      </c>
      <c r="U127" s="100">
        <v>1.5</v>
      </c>
      <c r="V127" s="5">
        <f t="shared" ref="V127:V149" ca="1" si="169">$D$49*(1-$D$37)*$D$60*J127</f>
        <v>0</v>
      </c>
      <c r="W127" s="5">
        <f t="shared" ref="W127:W149" ca="1" si="170">$D$50*(1-$D$38)*$D$61*K127</f>
        <v>0</v>
      </c>
      <c r="X127" s="5">
        <f t="shared" ref="X127:X149" ca="1" si="171">$D$51*(1-$D$39)*$D$61*L127</f>
        <v>0</v>
      </c>
      <c r="Y127" s="5">
        <f t="shared" ref="Y127:Y149" ca="1" si="172">$D$52*(1-$D$40)*$D$60*M127</f>
        <v>0</v>
      </c>
      <c r="AN127" s="2"/>
      <c r="AO127" s="170" t="s">
        <v>5</v>
      </c>
      <c r="AP127" s="170"/>
      <c r="AQ127" s="170"/>
      <c r="AR127" s="170"/>
      <c r="AS127" s="170"/>
      <c r="AT127" s="170"/>
      <c r="AU127" s="170"/>
      <c r="AV127" s="170"/>
      <c r="AW127" s="170"/>
      <c r="AX127" s="170"/>
      <c r="AY127" s="170"/>
      <c r="AZ127" s="170"/>
      <c r="BA127" s="170"/>
      <c r="BB127" s="170" t="s">
        <v>5</v>
      </c>
      <c r="BC127" s="170"/>
      <c r="BD127" s="170"/>
      <c r="BE127" s="170"/>
      <c r="BF127" s="170"/>
      <c r="BG127" s="170"/>
      <c r="BH127" s="170"/>
      <c r="BI127" s="170"/>
      <c r="BJ127" s="170"/>
      <c r="BK127" s="170"/>
      <c r="BL127" s="170"/>
      <c r="BM127" s="170"/>
      <c r="BN127" s="170"/>
      <c r="BO127" s="170" t="s">
        <v>5</v>
      </c>
      <c r="BP127" s="170"/>
      <c r="BQ127" s="170"/>
      <c r="BR127" s="170"/>
      <c r="BS127" s="170"/>
      <c r="BT127" s="170"/>
      <c r="BU127" s="170"/>
      <c r="BV127" s="170"/>
      <c r="BW127" s="170"/>
      <c r="BX127" s="170"/>
      <c r="BY127" s="170"/>
      <c r="BZ127" s="170" t="s">
        <v>5</v>
      </c>
      <c r="CA127" s="170"/>
      <c r="CB127" s="170"/>
      <c r="CC127" s="170"/>
      <c r="CD127" s="170"/>
      <c r="CE127" s="170"/>
      <c r="CF127" s="170"/>
      <c r="CG127" s="170"/>
      <c r="CH127" s="170"/>
      <c r="CI127" s="170"/>
      <c r="CJ127" s="170"/>
      <c r="CM127" s="13" t="s">
        <v>158</v>
      </c>
      <c r="CN127" s="20">
        <v>35.593780000000002</v>
      </c>
      <c r="CO127" s="20">
        <v>-82.547409999999999</v>
      </c>
      <c r="CP127" s="19">
        <v>0.31599999999999995</v>
      </c>
      <c r="CQ127" s="19">
        <v>0.35300000000000009</v>
      </c>
      <c r="CR127" s="19">
        <v>0.38799999999999996</v>
      </c>
      <c r="CS127" s="19">
        <v>0.27600000000000002</v>
      </c>
      <c r="CT127" s="98">
        <v>283.14999999999998</v>
      </c>
      <c r="CU127" s="98">
        <v>297.03888888888895</v>
      </c>
      <c r="CV127" s="98">
        <v>302.03888888888895</v>
      </c>
      <c r="CW127" s="98">
        <v>287.59444444444449</v>
      </c>
      <c r="CX127" s="104">
        <v>5</v>
      </c>
      <c r="CY127" s="104">
        <v>6</v>
      </c>
      <c r="CZ127" s="104">
        <v>7</v>
      </c>
      <c r="DA127" s="104">
        <v>8</v>
      </c>
      <c r="DB127" s="104">
        <v>2</v>
      </c>
      <c r="DG127">
        <f t="shared" si="134"/>
        <v>88</v>
      </c>
      <c r="DH127" s="5">
        <f t="shared" ca="1" si="135"/>
        <v>24.42</v>
      </c>
      <c r="DI127" s="5">
        <f t="shared" ca="1" si="136"/>
        <v>13.72</v>
      </c>
      <c r="DJ127" s="5">
        <f t="shared" ca="1" si="137"/>
        <v>13.573525637735463</v>
      </c>
      <c r="DK127" s="5">
        <f t="shared" ca="1" si="138"/>
        <v>24.125303957383764</v>
      </c>
      <c r="DL127" s="5">
        <f t="shared" ca="1" si="125"/>
        <v>3.048</v>
      </c>
      <c r="DM127" s="5">
        <f t="shared" ca="1" si="126"/>
        <v>2.9166666666666661</v>
      </c>
      <c r="DN127" s="5">
        <f t="shared" ca="1" si="127"/>
        <v>2.8840000000000003</v>
      </c>
      <c r="DO127" s="5">
        <f t="shared" ca="1" si="128"/>
        <v>3.0120000000000005</v>
      </c>
      <c r="DP127" s="5">
        <f t="shared" ca="1" si="129"/>
        <v>0.3580000000000001</v>
      </c>
      <c r="DQ127" s="5">
        <f t="shared" ca="1" si="130"/>
        <v>0.48599999999999988</v>
      </c>
      <c r="DR127" s="5">
        <f t="shared" ca="1" si="131"/>
        <v>0.48400000000000021</v>
      </c>
      <c r="DS127" s="5">
        <f t="shared" ca="1" si="132"/>
        <v>0.37199999999999989</v>
      </c>
      <c r="DU127">
        <f t="shared" si="139"/>
        <v>88</v>
      </c>
      <c r="DV127" s="5">
        <v>110.2</v>
      </c>
      <c r="DW127" s="5">
        <v>105.28157366682207</v>
      </c>
      <c r="DX127" s="5">
        <v>104.15806392768104</v>
      </c>
      <c r="DY127" s="5">
        <v>108.86988061698118</v>
      </c>
      <c r="DZ127" s="5">
        <v>24.42</v>
      </c>
      <c r="EA127" s="5">
        <v>13.72</v>
      </c>
      <c r="EB127" s="5">
        <v>13.573525637735463</v>
      </c>
      <c r="EC127" s="5">
        <v>24.125303957383764</v>
      </c>
      <c r="EE127">
        <f t="shared" si="140"/>
        <v>88</v>
      </c>
      <c r="EF127" s="5">
        <v>2.6033333333333326</v>
      </c>
      <c r="EG127" s="5">
        <v>2.4873333333333321</v>
      </c>
      <c r="EH127" s="5">
        <v>2.4639999999999995</v>
      </c>
      <c r="EI127" s="5">
        <v>2.5726666666666667</v>
      </c>
      <c r="EJ127" s="5">
        <v>3.048</v>
      </c>
      <c r="EK127" s="5">
        <v>2.9166666666666661</v>
      </c>
      <c r="EL127" s="5">
        <v>2.8840000000000003</v>
      </c>
      <c r="EM127" s="5">
        <v>3.0120000000000005</v>
      </c>
      <c r="EO127">
        <f t="shared" si="141"/>
        <v>88</v>
      </c>
      <c r="EP127" s="5">
        <v>0.46199999999999997</v>
      </c>
      <c r="EQ127" s="5">
        <v>0.45000000000000018</v>
      </c>
      <c r="ER127" s="5">
        <v>0.44799999999999984</v>
      </c>
      <c r="ES127" s="5">
        <v>0.45799999999999996</v>
      </c>
      <c r="ET127" s="5">
        <v>0.3580000000000001</v>
      </c>
      <c r="EU127" s="5">
        <v>0.48599999999999988</v>
      </c>
      <c r="EV127" s="5">
        <v>0.48400000000000021</v>
      </c>
      <c r="EW127" s="5">
        <v>0.37199999999999989</v>
      </c>
    </row>
    <row r="128" spans="8:153">
      <c r="H128" t="s">
        <v>266</v>
      </c>
      <c r="I128" s="100">
        <v>2.5</v>
      </c>
      <c r="J128" s="5">
        <f t="shared" ca="1" si="161"/>
        <v>0</v>
      </c>
      <c r="K128" s="5">
        <f t="shared" ca="1" si="162"/>
        <v>0</v>
      </c>
      <c r="L128" s="5">
        <f t="shared" ca="1" si="163"/>
        <v>0</v>
      </c>
      <c r="M128" s="5">
        <f t="shared" ca="1" si="164"/>
        <v>0</v>
      </c>
      <c r="O128" s="100">
        <v>2.5</v>
      </c>
      <c r="P128" s="5">
        <f t="shared" ca="1" si="165"/>
        <v>0</v>
      </c>
      <c r="Q128" s="5">
        <f t="shared" ca="1" si="166"/>
        <v>0</v>
      </c>
      <c r="R128" s="5">
        <f t="shared" ca="1" si="167"/>
        <v>0</v>
      </c>
      <c r="S128" s="5">
        <f t="shared" ca="1" si="168"/>
        <v>0</v>
      </c>
      <c r="U128" s="100">
        <v>2.5</v>
      </c>
      <c r="V128" s="5">
        <f t="shared" ca="1" si="169"/>
        <v>0</v>
      </c>
      <c r="W128" s="5">
        <f t="shared" ca="1" si="170"/>
        <v>0</v>
      </c>
      <c r="X128" s="5">
        <f t="shared" ca="1" si="171"/>
        <v>0</v>
      </c>
      <c r="Y128" s="5">
        <f t="shared" ca="1" si="172"/>
        <v>0</v>
      </c>
      <c r="AP128" s="174" t="s">
        <v>7</v>
      </c>
      <c r="AQ128" s="174"/>
      <c r="AR128" s="174" t="s">
        <v>60</v>
      </c>
      <c r="AS128" s="174"/>
      <c r="AT128" s="174" t="s">
        <v>8</v>
      </c>
      <c r="AU128" s="174"/>
      <c r="AV128" s="174" t="s">
        <v>12</v>
      </c>
      <c r="AW128" s="174"/>
      <c r="AX128" s="174" t="s">
        <v>9</v>
      </c>
      <c r="AY128" s="174"/>
      <c r="AZ128" s="174" t="s">
        <v>10</v>
      </c>
      <c r="BA128" s="174"/>
      <c r="BC128" s="174" t="s">
        <v>25</v>
      </c>
      <c r="BD128" s="174"/>
      <c r="BE128" s="174" t="s">
        <v>26</v>
      </c>
      <c r="BF128" s="174"/>
      <c r="BG128" s="174" t="s">
        <v>27</v>
      </c>
      <c r="BH128" s="174"/>
      <c r="BI128" s="174" t="s">
        <v>39</v>
      </c>
      <c r="BJ128" s="174"/>
      <c r="BK128" s="174" t="s">
        <v>40</v>
      </c>
      <c r="BL128" s="174"/>
      <c r="BM128" s="174" t="s">
        <v>28</v>
      </c>
      <c r="BN128" s="174"/>
      <c r="BP128" s="174" t="s">
        <v>41</v>
      </c>
      <c r="BQ128" s="174"/>
      <c r="BR128" s="174" t="s">
        <v>298</v>
      </c>
      <c r="BS128" s="174"/>
      <c r="BT128" s="174" t="s">
        <v>42</v>
      </c>
      <c r="BU128" s="174"/>
      <c r="BV128" s="174" t="s">
        <v>43</v>
      </c>
      <c r="BW128" s="174"/>
      <c r="BX128" s="174" t="s">
        <v>52</v>
      </c>
      <c r="BY128" s="174"/>
      <c r="CA128" s="174" t="s">
        <v>53</v>
      </c>
      <c r="CB128" s="174"/>
      <c r="CC128" s="174" t="s">
        <v>54</v>
      </c>
      <c r="CD128" s="174"/>
      <c r="CE128" s="174" t="s">
        <v>55</v>
      </c>
      <c r="CF128" s="174"/>
      <c r="CG128" s="174" t="s">
        <v>56</v>
      </c>
      <c r="CH128" s="174"/>
      <c r="CI128" s="174" t="s">
        <v>57</v>
      </c>
      <c r="CJ128" s="174"/>
      <c r="CM128" s="13" t="s">
        <v>159</v>
      </c>
      <c r="CN128" s="20">
        <v>35.251280000000001</v>
      </c>
      <c r="CO128" s="20">
        <v>-75.565839999999994</v>
      </c>
      <c r="CP128" s="19">
        <v>0.31199999999999994</v>
      </c>
      <c r="CQ128" s="19">
        <v>0.32100000000000001</v>
      </c>
      <c r="CR128" s="19">
        <v>0.379</v>
      </c>
      <c r="CS128" s="19">
        <v>0.32700000000000001</v>
      </c>
      <c r="CT128" s="98">
        <v>284.81666666666672</v>
      </c>
      <c r="CU128" s="98">
        <v>296.48333333333335</v>
      </c>
      <c r="CV128" s="98">
        <v>302.03888888888895</v>
      </c>
      <c r="CW128" s="98">
        <v>290.92777777777781</v>
      </c>
      <c r="CX128" s="104">
        <v>5</v>
      </c>
      <c r="CY128" s="104">
        <v>6</v>
      </c>
      <c r="CZ128" s="104">
        <v>7</v>
      </c>
      <c r="DA128" s="104">
        <v>8</v>
      </c>
      <c r="DB128" s="104">
        <v>2</v>
      </c>
      <c r="DG128">
        <f t="shared" si="134"/>
        <v>89</v>
      </c>
      <c r="DH128" s="5">
        <f t="shared" ca="1" si="135"/>
        <v>6.91</v>
      </c>
      <c r="DI128" s="5">
        <f t="shared" ca="1" si="136"/>
        <v>3.14</v>
      </c>
      <c r="DJ128" s="5">
        <f t="shared" ca="1" si="137"/>
        <v>3.1064774418724013</v>
      </c>
      <c r="DK128" s="5">
        <f t="shared" ca="1" si="138"/>
        <v>6.8266113982605159</v>
      </c>
      <c r="DL128" s="5">
        <f t="shared" ca="1" si="125"/>
        <v>2.1273333333333335</v>
      </c>
      <c r="DM128" s="5">
        <f t="shared" ca="1" si="126"/>
        <v>2.0283333333333324</v>
      </c>
      <c r="DN128" s="5">
        <f t="shared" ca="1" si="127"/>
        <v>2.0053333333333336</v>
      </c>
      <c r="DO128" s="5">
        <f t="shared" ca="1" si="128"/>
        <v>2.1026666666666669</v>
      </c>
      <c r="DP128" s="5">
        <f t="shared" ca="1" si="129"/>
        <v>0.24900000000000011</v>
      </c>
      <c r="DQ128" s="5">
        <f t="shared" ca="1" si="130"/>
        <v>0.37799999999999989</v>
      </c>
      <c r="DR128" s="5">
        <f t="shared" ca="1" si="131"/>
        <v>0.37700000000000022</v>
      </c>
      <c r="DS128" s="5">
        <f t="shared" ca="1" si="132"/>
        <v>0.25599999999999989</v>
      </c>
      <c r="DU128">
        <f t="shared" si="139"/>
        <v>89</v>
      </c>
      <c r="DV128" s="5">
        <v>57.73</v>
      </c>
      <c r="DW128" s="5">
        <v>55.153405152319763</v>
      </c>
      <c r="DX128" s="5">
        <v>54.564836937795164</v>
      </c>
      <c r="DY128" s="5">
        <v>57.033196080021078</v>
      </c>
      <c r="DZ128" s="5">
        <v>6.91</v>
      </c>
      <c r="EA128" s="5">
        <v>3.14</v>
      </c>
      <c r="EB128" s="5">
        <v>3.1064774418724013</v>
      </c>
      <c r="EC128" s="5">
        <v>6.8266113982605159</v>
      </c>
      <c r="EE128">
        <f t="shared" si="140"/>
        <v>89</v>
      </c>
      <c r="EF128" s="5">
        <v>1.9499999999999993</v>
      </c>
      <c r="EG128" s="5">
        <v>1.8636666666666653</v>
      </c>
      <c r="EH128" s="5">
        <v>1.8469999999999995</v>
      </c>
      <c r="EI128" s="5">
        <v>1.9279999999999999</v>
      </c>
      <c r="EJ128" s="5">
        <v>2.1273333333333335</v>
      </c>
      <c r="EK128" s="5">
        <v>2.0283333333333324</v>
      </c>
      <c r="EL128" s="5">
        <v>2.0053333333333336</v>
      </c>
      <c r="EM128" s="5">
        <v>2.1026666666666669</v>
      </c>
      <c r="EO128">
        <f t="shared" si="141"/>
        <v>89</v>
      </c>
      <c r="EP128" s="5">
        <v>0.34099999999999997</v>
      </c>
      <c r="EQ128" s="5">
        <v>0.33500000000000019</v>
      </c>
      <c r="ER128" s="5">
        <v>0.33399999999999985</v>
      </c>
      <c r="ES128" s="5">
        <v>0.33899999999999997</v>
      </c>
      <c r="ET128" s="5">
        <v>0.24900000000000011</v>
      </c>
      <c r="EU128" s="5">
        <v>0.37799999999999989</v>
      </c>
      <c r="EV128" s="5">
        <v>0.37700000000000022</v>
      </c>
      <c r="EW128" s="5">
        <v>0.25599999999999989</v>
      </c>
    </row>
    <row r="129" spans="7:153">
      <c r="H129" t="s">
        <v>267</v>
      </c>
      <c r="I129" s="100">
        <v>3.5</v>
      </c>
      <c r="J129" s="5">
        <f t="shared" ca="1" si="161"/>
        <v>0</v>
      </c>
      <c r="K129" s="5">
        <f t="shared" ca="1" si="162"/>
        <v>0</v>
      </c>
      <c r="L129" s="5">
        <f t="shared" ca="1" si="163"/>
        <v>0</v>
      </c>
      <c r="M129" s="5">
        <f t="shared" ca="1" si="164"/>
        <v>0</v>
      </c>
      <c r="O129" s="100">
        <v>3.5</v>
      </c>
      <c r="P129" s="5">
        <f t="shared" ca="1" si="165"/>
        <v>0</v>
      </c>
      <c r="Q129" s="5">
        <f t="shared" ca="1" si="166"/>
        <v>0</v>
      </c>
      <c r="R129" s="5">
        <f t="shared" ca="1" si="167"/>
        <v>0</v>
      </c>
      <c r="S129" s="5">
        <f t="shared" ca="1" si="168"/>
        <v>0</v>
      </c>
      <c r="U129" s="100">
        <v>3.5</v>
      </c>
      <c r="V129" s="5">
        <f t="shared" ca="1" si="169"/>
        <v>0</v>
      </c>
      <c r="W129" s="5">
        <f t="shared" ca="1" si="170"/>
        <v>0</v>
      </c>
      <c r="X129" s="5">
        <f t="shared" ca="1" si="171"/>
        <v>0</v>
      </c>
      <c r="Y129" s="5">
        <f t="shared" ca="1" si="172"/>
        <v>0</v>
      </c>
      <c r="AO129" s="6" t="s">
        <v>2</v>
      </c>
      <c r="AP129" s="5" t="s">
        <v>13</v>
      </c>
      <c r="AQ129" s="5" t="s">
        <v>14</v>
      </c>
      <c r="AR129" s="5" t="s">
        <v>15</v>
      </c>
      <c r="AS129" s="5" t="s">
        <v>16</v>
      </c>
      <c r="AT129" s="5" t="s">
        <v>17</v>
      </c>
      <c r="AU129" s="5" t="s">
        <v>18</v>
      </c>
      <c r="AV129" s="5" t="s">
        <v>19</v>
      </c>
      <c r="AW129" s="5" t="s">
        <v>20</v>
      </c>
      <c r="AX129" s="5" t="s">
        <v>21</v>
      </c>
      <c r="AY129" s="5" t="s">
        <v>22</v>
      </c>
      <c r="AZ129" s="5" t="s">
        <v>23</v>
      </c>
      <c r="BA129" s="5" t="s">
        <v>24</v>
      </c>
      <c r="BB129" s="4" t="s">
        <v>2</v>
      </c>
      <c r="BC129" t="s">
        <v>29</v>
      </c>
      <c r="BD129" t="s">
        <v>30</v>
      </c>
      <c r="BE129" t="s">
        <v>15</v>
      </c>
      <c r="BF129" t="s">
        <v>16</v>
      </c>
      <c r="BG129" t="s">
        <v>31</v>
      </c>
      <c r="BH129" t="s">
        <v>32</v>
      </c>
      <c r="BI129" t="s">
        <v>33</v>
      </c>
      <c r="BJ129" t="s">
        <v>34</v>
      </c>
      <c r="BK129" t="s">
        <v>35</v>
      </c>
      <c r="BL129" t="s">
        <v>36</v>
      </c>
      <c r="BM129" t="s">
        <v>37</v>
      </c>
      <c r="BN129" t="s">
        <v>38</v>
      </c>
      <c r="BO129" s="4" t="s">
        <v>2</v>
      </c>
      <c r="BP129" t="s">
        <v>44</v>
      </c>
      <c r="BQ129" t="s">
        <v>45</v>
      </c>
      <c r="BR129" t="s">
        <v>31</v>
      </c>
      <c r="BS129" t="s">
        <v>32</v>
      </c>
      <c r="BT129" t="s">
        <v>48</v>
      </c>
      <c r="BU129" t="s">
        <v>49</v>
      </c>
      <c r="BV129" t="s">
        <v>23</v>
      </c>
      <c r="BW129" t="s">
        <v>24</v>
      </c>
      <c r="BX129" t="s">
        <v>50</v>
      </c>
      <c r="BY129" t="s">
        <v>51</v>
      </c>
      <c r="BZ129" s="4" t="s">
        <v>2</v>
      </c>
      <c r="CA129" t="s">
        <v>46</v>
      </c>
      <c r="CB129" t="s">
        <v>47</v>
      </c>
      <c r="CC129" t="s">
        <v>58</v>
      </c>
      <c r="CD129" t="s">
        <v>59</v>
      </c>
      <c r="CE129" t="s">
        <v>48</v>
      </c>
      <c r="CF129" t="s">
        <v>49</v>
      </c>
      <c r="CG129" t="s">
        <v>23</v>
      </c>
      <c r="CH129" t="s">
        <v>24</v>
      </c>
      <c r="CI129" t="s">
        <v>37</v>
      </c>
      <c r="CJ129" t="s">
        <v>38</v>
      </c>
      <c r="CM129" s="17" t="s">
        <v>160</v>
      </c>
      <c r="CN129" s="20">
        <v>35.189360000000001</v>
      </c>
      <c r="CO129" s="20">
        <v>-80.846739999999997</v>
      </c>
      <c r="CP129" s="19">
        <v>0.31799999999999995</v>
      </c>
      <c r="CQ129" s="19">
        <v>0.35400000000000009</v>
      </c>
      <c r="CR129" s="19">
        <v>0.37799999999999995</v>
      </c>
      <c r="CS129" s="19">
        <v>0.26600000000000001</v>
      </c>
      <c r="CT129" s="98">
        <v>285.92777777777781</v>
      </c>
      <c r="CU129" s="98">
        <v>299.26111111111112</v>
      </c>
      <c r="CV129" s="98">
        <v>303.70555555555558</v>
      </c>
      <c r="CW129" s="98">
        <v>289.81666666666672</v>
      </c>
      <c r="CX129" s="104">
        <v>5</v>
      </c>
      <c r="CY129" s="104">
        <v>6</v>
      </c>
      <c r="CZ129" s="104">
        <v>7</v>
      </c>
      <c r="DA129" s="104">
        <v>8</v>
      </c>
      <c r="DB129" s="104">
        <v>2</v>
      </c>
      <c r="DG129">
        <f t="shared" si="134"/>
        <v>90</v>
      </c>
      <c r="DH129" s="5">
        <f t="shared" ca="1" si="135"/>
        <v>0.36</v>
      </c>
      <c r="DI129" s="5">
        <f t="shared" ca="1" si="136"/>
        <v>0.09</v>
      </c>
      <c r="DJ129" s="5">
        <f t="shared" ca="1" si="137"/>
        <v>8.9039162346661177E-2</v>
      </c>
      <c r="DK129" s="5">
        <f t="shared" ca="1" si="138"/>
        <v>0.35565558659533802</v>
      </c>
      <c r="DL129" s="5">
        <f t="shared" ca="1" si="125"/>
        <v>1.2066666666666668</v>
      </c>
      <c r="DM129" s="5">
        <f t="shared" ca="1" si="126"/>
        <v>1.1400000000000001</v>
      </c>
      <c r="DN129" s="5">
        <f t="shared" ca="1" si="127"/>
        <v>1.1266666666666667</v>
      </c>
      <c r="DO129" s="5">
        <f t="shared" ca="1" si="128"/>
        <v>1.1933333333333334</v>
      </c>
      <c r="DP129" s="5">
        <f t="shared" ca="1" si="129"/>
        <v>0.14000000000000001</v>
      </c>
      <c r="DQ129" s="5">
        <f t="shared" ca="1" si="130"/>
        <v>0.27</v>
      </c>
      <c r="DR129" s="5">
        <f t="shared" ca="1" si="131"/>
        <v>0.27</v>
      </c>
      <c r="DS129" s="5">
        <f t="shared" ca="1" si="132"/>
        <v>0.14000000000000001</v>
      </c>
      <c r="DU129">
        <f t="shared" si="139"/>
        <v>90</v>
      </c>
      <c r="DV129" s="5">
        <v>15.86</v>
      </c>
      <c r="DW129" s="5">
        <v>15.152139368019943</v>
      </c>
      <c r="DX129" s="5">
        <v>14.990443683239757</v>
      </c>
      <c r="DY129" s="5">
        <v>15.668569025275149</v>
      </c>
      <c r="DZ129" s="5">
        <v>0.36</v>
      </c>
      <c r="EA129" s="5">
        <v>0.09</v>
      </c>
      <c r="EB129" s="5">
        <v>8.9039162346661177E-2</v>
      </c>
      <c r="EC129" s="5">
        <v>0.35565558659533802</v>
      </c>
      <c r="EE129">
        <f t="shared" si="140"/>
        <v>90</v>
      </c>
      <c r="EF129" s="5">
        <v>1.2966666666666666</v>
      </c>
      <c r="EG129" s="5">
        <v>1.24</v>
      </c>
      <c r="EH129" s="5">
        <v>1.2299999999999998</v>
      </c>
      <c r="EI129" s="5">
        <v>1.2833333333333334</v>
      </c>
      <c r="EJ129" s="5">
        <v>1.2066666666666668</v>
      </c>
      <c r="EK129" s="5">
        <v>1.1400000000000001</v>
      </c>
      <c r="EL129" s="5">
        <v>1.1266666666666667</v>
      </c>
      <c r="EM129" s="5">
        <v>1.1933333333333334</v>
      </c>
      <c r="EO129">
        <f t="shared" si="141"/>
        <v>90</v>
      </c>
      <c r="EP129" s="5">
        <v>0.22</v>
      </c>
      <c r="EQ129" s="5">
        <v>0.22</v>
      </c>
      <c r="ER129" s="5">
        <v>0.22</v>
      </c>
      <c r="ES129" s="5">
        <v>0.22</v>
      </c>
      <c r="ET129" s="5">
        <v>0.14000000000000001</v>
      </c>
      <c r="EU129" s="5">
        <v>0.27</v>
      </c>
      <c r="EV129" s="5">
        <v>0.27</v>
      </c>
      <c r="EW129" s="5">
        <v>0.14000000000000001</v>
      </c>
    </row>
    <row r="130" spans="7:153">
      <c r="H130" t="s">
        <v>268</v>
      </c>
      <c r="I130" s="100">
        <v>4.5</v>
      </c>
      <c r="J130" s="5">
        <f t="shared" ca="1" si="161"/>
        <v>0</v>
      </c>
      <c r="K130" s="5">
        <f t="shared" ca="1" si="162"/>
        <v>0</v>
      </c>
      <c r="L130" s="5">
        <f t="shared" ca="1" si="163"/>
        <v>0</v>
      </c>
      <c r="M130" s="5">
        <f t="shared" ca="1" si="164"/>
        <v>0</v>
      </c>
      <c r="O130" s="100">
        <v>4.5</v>
      </c>
      <c r="P130" s="5">
        <f t="shared" ca="1" si="165"/>
        <v>0</v>
      </c>
      <c r="Q130" s="5">
        <f t="shared" ca="1" si="166"/>
        <v>0</v>
      </c>
      <c r="R130" s="5">
        <f t="shared" ca="1" si="167"/>
        <v>0</v>
      </c>
      <c r="S130" s="5">
        <f t="shared" ca="1" si="168"/>
        <v>0</v>
      </c>
      <c r="U130" s="100">
        <v>4.5</v>
      </c>
      <c r="V130" s="5">
        <f t="shared" ca="1" si="169"/>
        <v>0</v>
      </c>
      <c r="W130" s="5">
        <f t="shared" ca="1" si="170"/>
        <v>0</v>
      </c>
      <c r="X130" s="5">
        <f t="shared" ca="1" si="171"/>
        <v>0</v>
      </c>
      <c r="Y130" s="5">
        <f t="shared" ca="1" si="172"/>
        <v>0</v>
      </c>
      <c r="AN130" s="3"/>
      <c r="AO130" s="5">
        <v>0.5</v>
      </c>
      <c r="AP130" s="5">
        <v>31.5</v>
      </c>
      <c r="AQ130" s="5">
        <v>168.13</v>
      </c>
      <c r="AR130" s="5">
        <v>18.07</v>
      </c>
      <c r="AS130" s="5">
        <v>164.52</v>
      </c>
      <c r="AT130" s="5">
        <v>16.16</v>
      </c>
      <c r="AU130" s="5">
        <v>159.66999999999999</v>
      </c>
      <c r="AV130" s="5">
        <v>8.39</v>
      </c>
      <c r="AW130" s="5">
        <v>155.32</v>
      </c>
      <c r="AX130" s="5">
        <v>15.97</v>
      </c>
      <c r="AY130" s="5">
        <v>151.88</v>
      </c>
      <c r="AZ130" s="5">
        <v>31.32</v>
      </c>
      <c r="BA130" s="5">
        <v>148.61000000000001</v>
      </c>
      <c r="BB130">
        <v>0.5</v>
      </c>
      <c r="BC130" s="5">
        <v>20.91</v>
      </c>
      <c r="BD130" s="5">
        <v>168.85</v>
      </c>
      <c r="BE130" s="5">
        <v>38.700000000000003</v>
      </c>
      <c r="BF130" s="5">
        <v>162.03</v>
      </c>
      <c r="BG130" s="5">
        <v>15.27</v>
      </c>
      <c r="BH130" s="5">
        <v>158.79</v>
      </c>
      <c r="BI130" s="5">
        <v>11</v>
      </c>
      <c r="BJ130" s="5">
        <v>154.33000000000001</v>
      </c>
      <c r="BK130" s="5">
        <v>16.09</v>
      </c>
      <c r="BL130" s="5">
        <v>149.72</v>
      </c>
      <c r="BM130" s="5">
        <v>4.91</v>
      </c>
      <c r="BN130" s="5">
        <v>147.35</v>
      </c>
      <c r="BO130">
        <v>0.5</v>
      </c>
      <c r="BP130" s="5">
        <v>18.59</v>
      </c>
      <c r="BQ130" s="5">
        <v>162.52000000000001</v>
      </c>
      <c r="BR130" s="5">
        <v>28.09</v>
      </c>
      <c r="BS130" s="5">
        <v>157.77000000000001</v>
      </c>
      <c r="BT130" s="5">
        <v>18.940000000000001</v>
      </c>
      <c r="BU130" s="5">
        <v>155.43</v>
      </c>
      <c r="BV130" s="5">
        <v>16.29</v>
      </c>
      <c r="BW130" s="5">
        <v>151.61000000000001</v>
      </c>
      <c r="BX130" s="5">
        <v>9.61</v>
      </c>
      <c r="BY130" s="5">
        <v>147.72999999999999</v>
      </c>
      <c r="BZ130">
        <v>0.5</v>
      </c>
      <c r="CA130" s="5">
        <v>40.799999999999997</v>
      </c>
      <c r="CB130" s="5">
        <v>158.41</v>
      </c>
      <c r="CC130" s="5">
        <v>29.48</v>
      </c>
      <c r="CD130" s="5">
        <v>156.37</v>
      </c>
      <c r="CE130" s="5">
        <v>36.42</v>
      </c>
      <c r="CF130" s="5">
        <v>152.13999999999999</v>
      </c>
      <c r="CG130" s="5">
        <v>16.84</v>
      </c>
      <c r="CH130" s="5">
        <v>151.47999999999999</v>
      </c>
      <c r="CI130" s="5">
        <v>16.600000000000001</v>
      </c>
      <c r="CJ130" s="5">
        <v>147.08000000000001</v>
      </c>
      <c r="CM130" s="13" t="s">
        <v>161</v>
      </c>
      <c r="CN130" s="20">
        <v>36.070250000000001</v>
      </c>
      <c r="CO130" s="20">
        <v>-79.812950000000001</v>
      </c>
      <c r="CP130" s="19">
        <v>0.33999999999999997</v>
      </c>
      <c r="CQ130" s="19">
        <v>0.378</v>
      </c>
      <c r="CR130" s="19">
        <v>0.39099999999999996</v>
      </c>
      <c r="CS130" s="19">
        <v>0.29700000000000004</v>
      </c>
      <c r="CT130" s="98">
        <v>284.81666666666672</v>
      </c>
      <c r="CU130" s="98">
        <v>298.70555555555558</v>
      </c>
      <c r="CV130" s="98">
        <v>303.15000000000003</v>
      </c>
      <c r="CW130" s="98">
        <v>289.26111111111112</v>
      </c>
      <c r="CX130" s="104">
        <v>5</v>
      </c>
      <c r="CY130" s="104">
        <v>6</v>
      </c>
      <c r="CZ130" s="104">
        <v>7</v>
      </c>
      <c r="DA130" s="104">
        <v>8</v>
      </c>
      <c r="DB130" s="104">
        <v>2</v>
      </c>
    </row>
    <row r="131" spans="7:153">
      <c r="H131" t="s">
        <v>269</v>
      </c>
      <c r="I131" s="100">
        <v>5.5</v>
      </c>
      <c r="J131" s="5">
        <f t="shared" ca="1" si="161"/>
        <v>0</v>
      </c>
      <c r="K131" s="5">
        <f t="shared" ca="1" si="162"/>
        <v>10.81166666666666</v>
      </c>
      <c r="L131" s="5">
        <f t="shared" ca="1" si="163"/>
        <v>9.0346666666666664</v>
      </c>
      <c r="M131" s="5">
        <f t="shared" ca="1" si="164"/>
        <v>0</v>
      </c>
      <c r="O131" s="100">
        <v>5.5</v>
      </c>
      <c r="P131" s="5">
        <f t="shared" ca="1" si="165"/>
        <v>0</v>
      </c>
      <c r="Q131" s="5">
        <f t="shared" ca="1" si="166"/>
        <v>83.637363119490189</v>
      </c>
      <c r="R131" s="5">
        <f t="shared" ca="1" si="167"/>
        <v>64.511328902236741</v>
      </c>
      <c r="S131" s="5">
        <f t="shared" ca="1" si="168"/>
        <v>0</v>
      </c>
      <c r="U131" s="100">
        <v>5.5</v>
      </c>
      <c r="V131" s="5">
        <f t="shared" ca="1" si="169"/>
        <v>0</v>
      </c>
      <c r="W131" s="5">
        <f t="shared" ca="1" si="170"/>
        <v>1.0398058141466662</v>
      </c>
      <c r="X131" s="5">
        <f t="shared" ca="1" si="171"/>
        <v>0.89926489617066674</v>
      </c>
      <c r="Y131" s="5">
        <f t="shared" ca="1" si="172"/>
        <v>0</v>
      </c>
      <c r="AO131" s="5">
        <f>AO130+1</f>
        <v>1.5</v>
      </c>
      <c r="AP131" s="5">
        <v>67.05</v>
      </c>
      <c r="AQ131" s="5">
        <v>157.34</v>
      </c>
      <c r="AR131" s="5">
        <v>55.4</v>
      </c>
      <c r="AS131" s="5">
        <v>156.47999999999999</v>
      </c>
      <c r="AT131" s="5">
        <v>48.67</v>
      </c>
      <c r="AU131" s="5">
        <v>152.96</v>
      </c>
      <c r="AV131" s="5">
        <v>38.869999999999997</v>
      </c>
      <c r="AW131" s="5">
        <v>150.65</v>
      </c>
      <c r="AX131" s="5">
        <v>42.36</v>
      </c>
      <c r="AY131" s="5">
        <v>146.38999999999999</v>
      </c>
      <c r="AZ131" s="5">
        <v>53.2</v>
      </c>
      <c r="BA131" s="5">
        <v>141.29</v>
      </c>
      <c r="BB131">
        <f>BB130+1</f>
        <v>1.5</v>
      </c>
      <c r="BC131" s="5">
        <v>63.36</v>
      </c>
      <c r="BD131" s="5">
        <v>159.34</v>
      </c>
      <c r="BE131" s="5">
        <v>65.150000000000006</v>
      </c>
      <c r="BF131" s="5">
        <v>151.69999999999999</v>
      </c>
      <c r="BG131" s="5">
        <v>47.19</v>
      </c>
      <c r="BH131" s="5">
        <v>152.35</v>
      </c>
      <c r="BI131" s="5">
        <v>40.130000000000003</v>
      </c>
      <c r="BJ131" s="5">
        <v>149.38999999999999</v>
      </c>
      <c r="BK131" s="5">
        <v>41.22</v>
      </c>
      <c r="BL131" s="5">
        <v>144.6</v>
      </c>
      <c r="BM131" s="5">
        <v>30.22</v>
      </c>
      <c r="BN131" s="5">
        <v>144.32</v>
      </c>
      <c r="BO131">
        <f>BO130+1</f>
        <v>1.5</v>
      </c>
      <c r="BP131" s="5">
        <v>53.33</v>
      </c>
      <c r="BQ131" s="5">
        <v>154.88</v>
      </c>
      <c r="BR131" s="5">
        <v>55.35</v>
      </c>
      <c r="BS131" s="5">
        <v>149.49</v>
      </c>
      <c r="BT131" s="5">
        <v>47.09</v>
      </c>
      <c r="BU131" s="5">
        <v>149</v>
      </c>
      <c r="BV131" s="5">
        <v>42.65</v>
      </c>
      <c r="BW131" s="5">
        <v>146.41</v>
      </c>
      <c r="BX131" s="5">
        <v>34.58</v>
      </c>
      <c r="BY131" s="5">
        <v>144.30000000000001</v>
      </c>
      <c r="BZ131">
        <f>BZ130+1</f>
        <v>1.5</v>
      </c>
      <c r="CA131" s="5">
        <v>64.33</v>
      </c>
      <c r="CB131" s="5">
        <v>148.28</v>
      </c>
      <c r="CC131" s="5">
        <v>55.47</v>
      </c>
      <c r="CD131" s="5">
        <v>148.18</v>
      </c>
      <c r="CE131" s="5">
        <v>58.5</v>
      </c>
      <c r="CF131" s="5">
        <v>143.55000000000001</v>
      </c>
      <c r="CG131" s="5">
        <v>42.83</v>
      </c>
      <c r="CH131" s="5">
        <v>145.97</v>
      </c>
      <c r="CI131" s="5">
        <v>40.28</v>
      </c>
      <c r="CJ131" s="5">
        <v>142.22999999999999</v>
      </c>
      <c r="CM131" s="13" t="s">
        <v>162</v>
      </c>
      <c r="CN131" s="20">
        <v>35.848909999999997</v>
      </c>
      <c r="CO131" s="20">
        <v>-78.745090000000005</v>
      </c>
      <c r="CP131" s="19">
        <v>0.30299999999999994</v>
      </c>
      <c r="CQ131" s="19">
        <v>0.33100000000000007</v>
      </c>
      <c r="CR131" s="19">
        <v>0.35800000000000004</v>
      </c>
      <c r="CS131" s="19">
        <v>0.26400000000000001</v>
      </c>
      <c r="CT131" s="98">
        <v>286.48333333333335</v>
      </c>
      <c r="CU131" s="98">
        <v>299.26111111111112</v>
      </c>
      <c r="CV131" s="98">
        <v>303.70555555555558</v>
      </c>
      <c r="CW131" s="98">
        <v>290.37222222222226</v>
      </c>
      <c r="CX131" s="104">
        <v>5</v>
      </c>
      <c r="CY131" s="104">
        <v>6</v>
      </c>
      <c r="CZ131" s="104">
        <v>7</v>
      </c>
      <c r="DA131" s="104">
        <v>8</v>
      </c>
      <c r="DB131" s="104">
        <v>2</v>
      </c>
    </row>
    <row r="132" spans="7:153">
      <c r="H132" t="s">
        <v>270</v>
      </c>
      <c r="I132" s="100">
        <v>6.5</v>
      </c>
      <c r="J132" s="5">
        <f t="shared" ca="1" si="161"/>
        <v>0</v>
      </c>
      <c r="K132" s="5">
        <f t="shared" ca="1" si="162"/>
        <v>18.643666666666654</v>
      </c>
      <c r="L132" s="5">
        <f t="shared" ca="1" si="163"/>
        <v>17.713333333333331</v>
      </c>
      <c r="M132" s="5">
        <f t="shared" ca="1" si="164"/>
        <v>2.1026666666666669</v>
      </c>
      <c r="O132" s="100">
        <v>6.5</v>
      </c>
      <c r="P132" s="5">
        <f t="shared" ca="1" si="165"/>
        <v>0</v>
      </c>
      <c r="Q132" s="5">
        <f t="shared" ca="1" si="166"/>
        <v>144.22449072410069</v>
      </c>
      <c r="R132" s="5">
        <f t="shared" ca="1" si="167"/>
        <v>126.48066771933517</v>
      </c>
      <c r="S132" s="5">
        <f t="shared" ca="1" si="168"/>
        <v>19.127632836168832</v>
      </c>
      <c r="U132" s="100">
        <v>6.5</v>
      </c>
      <c r="V132" s="5">
        <f t="shared" ca="1" si="169"/>
        <v>0</v>
      </c>
      <c r="W132" s="5">
        <f t="shared" ca="1" si="170"/>
        <v>1.7930439029146656</v>
      </c>
      <c r="X132" s="5">
        <f t="shared" ca="1" si="171"/>
        <v>1.7630953579733333</v>
      </c>
      <c r="Y132" s="5">
        <f t="shared" ca="1" si="172"/>
        <v>0.21164551136000007</v>
      </c>
      <c r="AO132" s="5">
        <f t="shared" ref="AO132:AO153" si="173">AO131+1</f>
        <v>2.5</v>
      </c>
      <c r="AP132" s="5">
        <v>80.489999999999995</v>
      </c>
      <c r="AQ132" s="5">
        <v>144.41999999999999</v>
      </c>
      <c r="AR132" s="5">
        <v>73.069999999999993</v>
      </c>
      <c r="AS132" s="5">
        <v>144.76</v>
      </c>
      <c r="AT132" s="5">
        <v>67.650000000000006</v>
      </c>
      <c r="AU132" s="5">
        <v>142.5</v>
      </c>
      <c r="AV132" s="5">
        <v>59.81</v>
      </c>
      <c r="AW132" s="5">
        <v>141.9</v>
      </c>
      <c r="AX132" s="5">
        <v>61.36</v>
      </c>
      <c r="AY132" s="5">
        <v>137.76</v>
      </c>
      <c r="AZ132" s="5">
        <v>69.13</v>
      </c>
      <c r="BA132" s="5">
        <v>131.81</v>
      </c>
      <c r="BB132">
        <f t="shared" ref="BB132:BB153" si="174">BB131+1</f>
        <v>2.5</v>
      </c>
      <c r="BC132" s="5">
        <v>78.63</v>
      </c>
      <c r="BD132" s="5">
        <v>146.58000000000001</v>
      </c>
      <c r="BE132" s="5">
        <v>78.61</v>
      </c>
      <c r="BF132" s="5">
        <v>139.28</v>
      </c>
      <c r="BG132" s="5">
        <v>66.45</v>
      </c>
      <c r="BH132" s="5">
        <v>141.82</v>
      </c>
      <c r="BI132" s="5">
        <v>60.38</v>
      </c>
      <c r="BJ132" s="5">
        <v>140.63</v>
      </c>
      <c r="BK132" s="5">
        <v>60.04</v>
      </c>
      <c r="BL132" s="5">
        <v>136.38999999999999</v>
      </c>
      <c r="BM132" s="5">
        <v>50.86</v>
      </c>
      <c r="BN132" s="5">
        <v>137.71</v>
      </c>
      <c r="BO132">
        <f t="shared" ref="BO132:BO153" si="175">BO131+1</f>
        <v>2.5</v>
      </c>
      <c r="BP132" s="5">
        <v>71.319999999999993</v>
      </c>
      <c r="BQ132" s="5">
        <v>143.61000000000001</v>
      </c>
      <c r="BR132" s="5">
        <v>71.67</v>
      </c>
      <c r="BS132" s="5">
        <v>138.59</v>
      </c>
      <c r="BT132" s="5">
        <v>65.56</v>
      </c>
      <c r="BU132" s="5">
        <v>139.31</v>
      </c>
      <c r="BV132" s="5">
        <v>61.58</v>
      </c>
      <c r="BW132" s="5">
        <v>137.66</v>
      </c>
      <c r="BX132" s="5">
        <v>54.42</v>
      </c>
      <c r="BY132" s="5">
        <v>133.72999999999999</v>
      </c>
      <c r="BZ132">
        <f t="shared" ref="BZ132:BZ153" si="176">BZ131+1</f>
        <v>2.5</v>
      </c>
      <c r="CA132" s="5">
        <v>77.81</v>
      </c>
      <c r="CB132" s="5">
        <v>136.33000000000001</v>
      </c>
      <c r="CC132" s="5">
        <v>71.569999999999993</v>
      </c>
      <c r="CD132" s="5">
        <v>137.38</v>
      </c>
      <c r="CE132" s="5">
        <v>73.36</v>
      </c>
      <c r="CF132" s="5">
        <v>133.07</v>
      </c>
      <c r="CG132" s="5">
        <v>61.63</v>
      </c>
      <c r="CH132" s="5">
        <v>137.32</v>
      </c>
      <c r="CI132" s="5">
        <v>58.8</v>
      </c>
      <c r="CJ132" s="5">
        <v>134.51</v>
      </c>
      <c r="CM132" s="13" t="s">
        <v>163</v>
      </c>
      <c r="CN132" s="20">
        <v>34.207120000000003</v>
      </c>
      <c r="CO132" s="20">
        <v>-77.883240000000001</v>
      </c>
      <c r="CP132" s="19">
        <v>0.27900000000000003</v>
      </c>
      <c r="CQ132" s="19">
        <v>0.314</v>
      </c>
      <c r="CR132" s="19">
        <v>0.39500000000000002</v>
      </c>
      <c r="CS132" s="19">
        <v>0.28099999999999997</v>
      </c>
      <c r="CT132" s="98">
        <v>288.70555555555558</v>
      </c>
      <c r="CU132" s="98">
        <v>300.37222222222226</v>
      </c>
      <c r="CV132" s="98">
        <v>304.26111111111112</v>
      </c>
      <c r="CW132" s="98">
        <v>293.15000000000003</v>
      </c>
      <c r="CX132" s="104">
        <v>5</v>
      </c>
      <c r="CY132" s="104">
        <v>6</v>
      </c>
      <c r="CZ132" s="104">
        <v>7</v>
      </c>
      <c r="DA132" s="104">
        <v>8</v>
      </c>
      <c r="DB132" s="104">
        <v>2</v>
      </c>
    </row>
    <row r="133" spans="7:153">
      <c r="H133" t="s">
        <v>271</v>
      </c>
      <c r="I133" s="100">
        <v>7.5</v>
      </c>
      <c r="J133" s="5">
        <f t="shared" ca="1" si="161"/>
        <v>5.81</v>
      </c>
      <c r="K133" s="5">
        <f t="shared" ca="1" si="162"/>
        <v>26.963333333333331</v>
      </c>
      <c r="L133" s="5">
        <f t="shared" ca="1" si="163"/>
        <v>25.844333333333331</v>
      </c>
      <c r="M133" s="5">
        <f t="shared" ca="1" si="164"/>
        <v>11.059999999999999</v>
      </c>
      <c r="O133" s="100">
        <v>7.5</v>
      </c>
      <c r="P133" s="5">
        <f t="shared" ca="1" si="165"/>
        <v>64.912134529258736</v>
      </c>
      <c r="Q133" s="5">
        <f t="shared" ca="1" si="166"/>
        <v>208.58413142394224</v>
      </c>
      <c r="R133" s="5">
        <f t="shared" ca="1" si="167"/>
        <v>184.53943564703076</v>
      </c>
      <c r="S133" s="5">
        <f t="shared" ca="1" si="168"/>
        <v>100.61110613571365</v>
      </c>
      <c r="U133" s="100">
        <v>7.5</v>
      </c>
      <c r="V133" s="5">
        <f t="shared" ca="1" si="169"/>
        <v>0.65932607411999999</v>
      </c>
      <c r="W133" s="5">
        <f t="shared" ca="1" si="170"/>
        <v>2.5931830524533335</v>
      </c>
      <c r="X133" s="5">
        <f t="shared" ca="1" si="171"/>
        <v>2.5724138575413336</v>
      </c>
      <c r="Y133" s="5">
        <f t="shared" ca="1" si="172"/>
        <v>1.1132527056000001</v>
      </c>
      <c r="AO133" s="5">
        <f t="shared" si="173"/>
        <v>3.5</v>
      </c>
      <c r="AP133" s="5">
        <v>88.49</v>
      </c>
      <c r="AQ133" s="5">
        <v>131.13999999999999</v>
      </c>
      <c r="AR133" s="5">
        <v>83.66</v>
      </c>
      <c r="AS133" s="5">
        <v>132.18</v>
      </c>
      <c r="AT133" s="5">
        <v>79.97</v>
      </c>
      <c r="AU133" s="5">
        <v>130.76</v>
      </c>
      <c r="AV133" s="5">
        <v>74.25</v>
      </c>
      <c r="AW133" s="5">
        <v>131.31</v>
      </c>
      <c r="AX133" s="5">
        <v>75.349999999999994</v>
      </c>
      <c r="AY133" s="5">
        <v>127.62</v>
      </c>
      <c r="AZ133" s="5">
        <v>81.569999999999993</v>
      </c>
      <c r="BA133" s="5">
        <v>121.34</v>
      </c>
      <c r="BB133">
        <f t="shared" si="174"/>
        <v>3.5</v>
      </c>
      <c r="BC133" s="5">
        <v>87.23</v>
      </c>
      <c r="BD133" s="5">
        <v>133.18</v>
      </c>
      <c r="BE133" s="5">
        <v>87.62</v>
      </c>
      <c r="BF133" s="5">
        <v>126.44</v>
      </c>
      <c r="BG133" s="5">
        <v>79.12</v>
      </c>
      <c r="BH133" s="5">
        <v>130.63999999999999</v>
      </c>
      <c r="BI133" s="5">
        <v>74.650000000000006</v>
      </c>
      <c r="BJ133" s="5">
        <v>130.13999999999999</v>
      </c>
      <c r="BK133" s="5">
        <v>74.33</v>
      </c>
      <c r="BL133" s="5">
        <v>126.51</v>
      </c>
      <c r="BM133" s="5">
        <v>66.98</v>
      </c>
      <c r="BN133" s="5">
        <v>129.19999999999999</v>
      </c>
      <c r="BO133">
        <f t="shared" si="175"/>
        <v>3.5</v>
      </c>
      <c r="BP133" s="5">
        <v>82.51</v>
      </c>
      <c r="BQ133" s="5">
        <v>131.25</v>
      </c>
      <c r="BR133" s="5">
        <v>82.94</v>
      </c>
      <c r="BS133" s="5">
        <v>126.71</v>
      </c>
      <c r="BT133" s="5">
        <v>78.510000000000005</v>
      </c>
      <c r="BU133" s="5">
        <v>128.19999999999999</v>
      </c>
      <c r="BV133" s="5">
        <v>75.53</v>
      </c>
      <c r="BW133" s="5">
        <v>127.48</v>
      </c>
      <c r="BX133" s="5">
        <v>69.84</v>
      </c>
      <c r="BY133" s="5">
        <v>127.9</v>
      </c>
      <c r="BZ133">
        <f t="shared" si="176"/>
        <v>3.5</v>
      </c>
      <c r="CA133" s="5">
        <v>87.35</v>
      </c>
      <c r="CB133" s="5">
        <v>123.82</v>
      </c>
      <c r="CC133" s="5">
        <v>82.94</v>
      </c>
      <c r="CD133" s="5">
        <v>125.65</v>
      </c>
      <c r="CE133" s="5">
        <v>84.59</v>
      </c>
      <c r="CF133" s="5">
        <v>121.55</v>
      </c>
      <c r="CG133" s="5">
        <v>75.569999999999993</v>
      </c>
      <c r="CH133" s="5">
        <v>127.16</v>
      </c>
      <c r="CI133" s="5">
        <v>73.349999999999994</v>
      </c>
      <c r="CJ133" s="5">
        <v>125.26</v>
      </c>
      <c r="CM133" s="13" t="s">
        <v>164</v>
      </c>
      <c r="CN133" s="20">
        <v>46.820630000000001</v>
      </c>
      <c r="CO133" s="20">
        <v>-100.80087</v>
      </c>
      <c r="CP133" s="19">
        <v>0.28299999999999997</v>
      </c>
      <c r="CQ133" s="19">
        <v>0.38899999999999996</v>
      </c>
      <c r="CR133" s="19">
        <v>0.34500000000000003</v>
      </c>
      <c r="CS133" s="19">
        <v>0.32699999999999996</v>
      </c>
      <c r="CT133" s="98">
        <v>270.92777777777781</v>
      </c>
      <c r="CU133" s="98">
        <v>293.15000000000003</v>
      </c>
      <c r="CV133" s="98">
        <v>301.48333333333335</v>
      </c>
      <c r="CW133" s="98">
        <v>277.59444444444443</v>
      </c>
      <c r="CX133" s="104">
        <v>1</v>
      </c>
      <c r="CY133" s="104">
        <v>2</v>
      </c>
      <c r="CZ133" s="104">
        <v>3</v>
      </c>
      <c r="DA133" s="104">
        <v>4</v>
      </c>
      <c r="DB133" s="104">
        <v>1</v>
      </c>
    </row>
    <row r="134" spans="7:153">
      <c r="H134" t="s">
        <v>272</v>
      </c>
      <c r="I134" s="100">
        <v>8.5</v>
      </c>
      <c r="J134" s="5">
        <f t="shared" ca="1" si="161"/>
        <v>13.541333333333334</v>
      </c>
      <c r="K134" s="5">
        <f t="shared" ca="1" si="162"/>
        <v>36.718000000000018</v>
      </c>
      <c r="L134" s="5">
        <f t="shared" ca="1" si="163"/>
        <v>34.34466666666664</v>
      </c>
      <c r="M134" s="5">
        <f t="shared" ca="1" si="164"/>
        <v>15.7</v>
      </c>
      <c r="O134" s="100">
        <v>8.5</v>
      </c>
      <c r="P134" s="5">
        <f t="shared" ca="1" si="165"/>
        <v>151.29033580703424</v>
      </c>
      <c r="Q134" s="5">
        <f t="shared" ca="1" si="166"/>
        <v>284.04470778678382</v>
      </c>
      <c r="R134" s="5">
        <f t="shared" ca="1" si="167"/>
        <v>245.23539928103071</v>
      </c>
      <c r="S134" s="5">
        <f t="shared" ca="1" si="168"/>
        <v>142.82046711850856</v>
      </c>
      <c r="U134" s="100">
        <v>8.5</v>
      </c>
      <c r="V134" s="5">
        <f t="shared" ca="1" si="169"/>
        <v>1.5366874604160001</v>
      </c>
      <c r="W134" s="5">
        <f t="shared" ca="1" si="170"/>
        <v>3.531332500432002</v>
      </c>
      <c r="X134" s="5">
        <f t="shared" ca="1" si="171"/>
        <v>3.4184939238506642</v>
      </c>
      <c r="Y134" s="5">
        <f t="shared" ca="1" si="172"/>
        <v>1.5802954320000002</v>
      </c>
      <c r="AO134" s="5">
        <f t="shared" si="173"/>
        <v>4.5</v>
      </c>
      <c r="AP134" s="5">
        <v>94.79</v>
      </c>
      <c r="AQ134" s="5">
        <v>117.64</v>
      </c>
      <c r="AR134" s="5">
        <v>91.67</v>
      </c>
      <c r="AS134" s="5">
        <v>119.21</v>
      </c>
      <c r="AT134" s="5">
        <v>89.44</v>
      </c>
      <c r="AU134" s="5">
        <v>118.54</v>
      </c>
      <c r="AV134" s="5">
        <v>85.4</v>
      </c>
      <c r="AW134" s="5">
        <v>120.07</v>
      </c>
      <c r="AX134" s="5">
        <v>86.68</v>
      </c>
      <c r="AY134" s="5">
        <v>116.75</v>
      </c>
      <c r="AZ134" s="5">
        <v>92.25</v>
      </c>
      <c r="BA134" s="5">
        <v>109.04</v>
      </c>
      <c r="BB134">
        <f t="shared" si="174"/>
        <v>4.5</v>
      </c>
      <c r="BC134" s="5">
        <v>93.77</v>
      </c>
      <c r="BD134" s="5">
        <v>119.71</v>
      </c>
      <c r="BE134" s="5">
        <v>95</v>
      </c>
      <c r="BF134" s="5">
        <v>113.48</v>
      </c>
      <c r="BG134" s="5">
        <v>88.89</v>
      </c>
      <c r="BH134" s="5">
        <v>118.59</v>
      </c>
      <c r="BI134" s="5">
        <v>85.82</v>
      </c>
      <c r="BJ134" s="5">
        <v>118.99</v>
      </c>
      <c r="BK134" s="5">
        <v>86.08</v>
      </c>
      <c r="BL134" s="5">
        <v>116.19</v>
      </c>
      <c r="BM134" s="5">
        <v>80.13</v>
      </c>
      <c r="BN134" s="5">
        <v>119.66</v>
      </c>
      <c r="BO134">
        <f t="shared" si="175"/>
        <v>4.5</v>
      </c>
      <c r="BP134" s="5">
        <v>91.05</v>
      </c>
      <c r="BQ134" s="5">
        <v>118.6</v>
      </c>
      <c r="BR134" s="5">
        <v>92.05</v>
      </c>
      <c r="BS134" s="5">
        <v>114.56</v>
      </c>
      <c r="BT134" s="5">
        <v>88.83</v>
      </c>
      <c r="BU134" s="5">
        <v>116.69</v>
      </c>
      <c r="BV134" s="5">
        <v>86.83</v>
      </c>
      <c r="BW134" s="5">
        <v>116.61</v>
      </c>
      <c r="BX134" s="5">
        <v>82.51</v>
      </c>
      <c r="BY134" s="5">
        <v>118.04</v>
      </c>
      <c r="BZ134">
        <f t="shared" si="176"/>
        <v>4.5</v>
      </c>
      <c r="CA134" s="5">
        <v>95.35</v>
      </c>
      <c r="CB134" s="5">
        <v>111.27</v>
      </c>
      <c r="CC134" s="5">
        <v>92.24</v>
      </c>
      <c r="CD134" s="5">
        <v>113.72</v>
      </c>
      <c r="CE134" s="5">
        <v>94.18</v>
      </c>
      <c r="CF134" s="5">
        <v>109.95</v>
      </c>
      <c r="CG134" s="5">
        <v>86.92</v>
      </c>
      <c r="CH134" s="5">
        <v>116.35</v>
      </c>
      <c r="CI134" s="5">
        <v>85.55</v>
      </c>
      <c r="CJ134" s="5">
        <v>115.21</v>
      </c>
      <c r="CM134" s="13" t="s">
        <v>165</v>
      </c>
      <c r="CN134" s="20">
        <v>48.112909999999999</v>
      </c>
      <c r="CO134" s="20">
        <v>-98.871039999999994</v>
      </c>
      <c r="CP134" s="19">
        <v>0.35199999999999998</v>
      </c>
      <c r="CQ134" s="19">
        <v>0.374</v>
      </c>
      <c r="CR134" s="19">
        <v>0.28599999999999998</v>
      </c>
      <c r="CS134" s="19">
        <v>0.38400000000000001</v>
      </c>
      <c r="CT134" s="98">
        <v>267.59444444444443</v>
      </c>
      <c r="CU134" s="98">
        <v>292.03888888888895</v>
      </c>
      <c r="CV134" s="98">
        <v>299.26111111111112</v>
      </c>
      <c r="CW134" s="98">
        <v>274.81666666666666</v>
      </c>
      <c r="CX134" s="104">
        <v>5</v>
      </c>
      <c r="CY134" s="104">
        <v>6</v>
      </c>
      <c r="CZ134" s="104">
        <v>7</v>
      </c>
      <c r="DA134" s="104">
        <v>8</v>
      </c>
      <c r="DB134" s="104">
        <v>2</v>
      </c>
    </row>
    <row r="135" spans="7:153">
      <c r="H135" t="s">
        <v>273</v>
      </c>
      <c r="I135" s="100">
        <v>9.5</v>
      </c>
      <c r="J135" s="5">
        <f t="shared" ca="1" si="161"/>
        <v>19.690666666666676</v>
      </c>
      <c r="K135" s="5">
        <f t="shared" ca="1" si="162"/>
        <v>46.003999999999969</v>
      </c>
      <c r="L135" s="5">
        <f t="shared" ca="1" si="163"/>
        <v>44.409666666666659</v>
      </c>
      <c r="M135" s="5">
        <f t="shared" ca="1" si="164"/>
        <v>21.61666666666666</v>
      </c>
      <c r="O135" s="100">
        <v>9.5</v>
      </c>
      <c r="P135" s="5">
        <f t="shared" ca="1" si="165"/>
        <v>219.99366671901171</v>
      </c>
      <c r="Q135" s="5">
        <f t="shared" ca="1" si="166"/>
        <v>355.87975208407835</v>
      </c>
      <c r="R135" s="5">
        <f t="shared" ca="1" si="167"/>
        <v>317.10374255888792</v>
      </c>
      <c r="S135" s="5">
        <f t="shared" ca="1" si="168"/>
        <v>196.64346693493158</v>
      </c>
      <c r="U135" s="100">
        <v>9.5</v>
      </c>
      <c r="V135" s="5">
        <f t="shared" ca="1" si="169"/>
        <v>2.2345215060480013</v>
      </c>
      <c r="W135" s="5">
        <f t="shared" ca="1" si="170"/>
        <v>4.4244082016959974</v>
      </c>
      <c r="X135" s="5">
        <f t="shared" ca="1" si="171"/>
        <v>4.4203129741706659</v>
      </c>
      <c r="Y135" s="5">
        <f t="shared" ca="1" si="172"/>
        <v>2.1758420119999999</v>
      </c>
      <c r="AO135" s="5">
        <f t="shared" si="173"/>
        <v>5.5</v>
      </c>
      <c r="AP135" s="5">
        <v>100.66</v>
      </c>
      <c r="AQ135" s="5">
        <v>104.26</v>
      </c>
      <c r="AR135" s="5">
        <v>98.79</v>
      </c>
      <c r="AS135" s="5">
        <v>106.32</v>
      </c>
      <c r="AT135" s="5">
        <v>97.81</v>
      </c>
      <c r="AU135" s="5">
        <v>106.33</v>
      </c>
      <c r="AV135" s="5">
        <v>95.06</v>
      </c>
      <c r="AW135" s="5">
        <v>108.56</v>
      </c>
      <c r="AX135" s="5">
        <v>96.8</v>
      </c>
      <c r="AY135" s="5">
        <v>105.78</v>
      </c>
      <c r="AZ135" s="5">
        <v>102.28</v>
      </c>
      <c r="BA135" s="5">
        <v>99.76</v>
      </c>
      <c r="BB135">
        <f t="shared" si="174"/>
        <v>5.5</v>
      </c>
      <c r="BC135" s="5">
        <v>99.71</v>
      </c>
      <c r="BD135" s="5">
        <v>106.31</v>
      </c>
      <c r="BE135" s="5">
        <v>101.96</v>
      </c>
      <c r="BF135" s="5">
        <v>100.68</v>
      </c>
      <c r="BG135" s="5">
        <v>97.5</v>
      </c>
      <c r="BH135" s="5">
        <v>106.41</v>
      </c>
      <c r="BI135" s="5">
        <v>95.61</v>
      </c>
      <c r="BJ135" s="5">
        <v>107.73</v>
      </c>
      <c r="BK135" s="5">
        <v>96.63</v>
      </c>
      <c r="BL135" s="5">
        <v>105.61</v>
      </c>
      <c r="BM135" s="5">
        <v>91.66</v>
      </c>
      <c r="BN135" s="5">
        <v>109.66</v>
      </c>
      <c r="BO135">
        <f t="shared" si="175"/>
        <v>5.5</v>
      </c>
      <c r="BP135" s="5">
        <v>98.65</v>
      </c>
      <c r="BQ135" s="5">
        <v>105.97</v>
      </c>
      <c r="BR135" s="5">
        <v>100.4</v>
      </c>
      <c r="BS135" s="5">
        <v>102.42</v>
      </c>
      <c r="BT135" s="5">
        <v>98.06</v>
      </c>
      <c r="BU135" s="5">
        <v>105.06</v>
      </c>
      <c r="BV135" s="5">
        <v>96.93</v>
      </c>
      <c r="BW135" s="5">
        <v>105.66</v>
      </c>
      <c r="BX135" s="5">
        <v>93.75</v>
      </c>
      <c r="BY135" s="5">
        <v>107.92</v>
      </c>
      <c r="BZ135">
        <f t="shared" si="176"/>
        <v>5.5</v>
      </c>
      <c r="CA135" s="5">
        <v>102.96</v>
      </c>
      <c r="CB135" s="5">
        <v>98.81</v>
      </c>
      <c r="CC135" s="5">
        <v>100.82</v>
      </c>
      <c r="CD135" s="5">
        <v>101.75</v>
      </c>
      <c r="CE135" s="5">
        <v>103.27</v>
      </c>
      <c r="CF135" s="5">
        <v>98.5</v>
      </c>
      <c r="CG135" s="5">
        <v>97.08</v>
      </c>
      <c r="CH135" s="5">
        <v>105.48</v>
      </c>
      <c r="CI135" s="5">
        <v>96.59</v>
      </c>
      <c r="CJ135" s="5">
        <v>105.31</v>
      </c>
      <c r="CM135" s="13" t="s">
        <v>166</v>
      </c>
      <c r="CN135" s="20">
        <v>46.852879999999999</v>
      </c>
      <c r="CO135" s="20">
        <v>-96.853930000000005</v>
      </c>
      <c r="CP135" s="19">
        <v>0.35299999999999998</v>
      </c>
      <c r="CQ135" s="19">
        <v>0.375</v>
      </c>
      <c r="CR135" s="19">
        <v>0.28399999999999997</v>
      </c>
      <c r="CS135" s="19">
        <v>0.38700000000000001</v>
      </c>
      <c r="CT135" s="98">
        <v>268.70555555555558</v>
      </c>
      <c r="CU135" s="98">
        <v>293.70555555555558</v>
      </c>
      <c r="CV135" s="98">
        <v>300.37222222222226</v>
      </c>
      <c r="CW135" s="98">
        <v>275.92777777777781</v>
      </c>
      <c r="CX135" s="104">
        <v>5</v>
      </c>
      <c r="CY135" s="104">
        <v>6</v>
      </c>
      <c r="CZ135" s="104">
        <v>7</v>
      </c>
      <c r="DA135" s="104">
        <v>8</v>
      </c>
      <c r="DB135" s="104">
        <v>2</v>
      </c>
    </row>
    <row r="136" spans="7:153">
      <c r="H136" t="s">
        <v>274</v>
      </c>
      <c r="I136" s="100">
        <v>10.5</v>
      </c>
      <c r="J136" s="5">
        <f t="shared" ca="1" si="161"/>
        <v>24.062666666666669</v>
      </c>
      <c r="K136" s="5">
        <f t="shared" ca="1" si="162"/>
        <v>55.073333333333331</v>
      </c>
      <c r="L136" s="5">
        <f t="shared" ca="1" si="163"/>
        <v>53.553666666666665</v>
      </c>
      <c r="M136" s="5">
        <f t="shared" ca="1" si="164"/>
        <v>25.213333333333335</v>
      </c>
      <c r="O136" s="100">
        <v>10.5</v>
      </c>
      <c r="P136" s="5">
        <f t="shared" ca="1" si="165"/>
        <v>268.83976864016813</v>
      </c>
      <c r="Q136" s="5">
        <f t="shared" ca="1" si="166"/>
        <v>426.038696920061</v>
      </c>
      <c r="R136" s="5">
        <f t="shared" ca="1" si="167"/>
        <v>382.3957575546878</v>
      </c>
      <c r="S136" s="5">
        <f t="shared" ca="1" si="168"/>
        <v>229.36178625995728</v>
      </c>
      <c r="U136" s="100">
        <v>10.5</v>
      </c>
      <c r="V136" s="5">
        <f t="shared" ca="1" si="169"/>
        <v>2.7306615397920004</v>
      </c>
      <c r="W136" s="5">
        <f t="shared" ca="1" si="170"/>
        <v>5.2966461110933336</v>
      </c>
      <c r="X136" s="5">
        <f t="shared" ca="1" si="171"/>
        <v>5.3304603558026669</v>
      </c>
      <c r="Y136" s="5">
        <f t="shared" ca="1" si="172"/>
        <v>2.5378672288000006</v>
      </c>
      <c r="AO136" s="5">
        <f t="shared" si="173"/>
        <v>6.5</v>
      </c>
      <c r="AP136" s="5">
        <v>106.79</v>
      </c>
      <c r="AQ136" s="5">
        <v>91.15</v>
      </c>
      <c r="AR136" s="5">
        <v>105.93</v>
      </c>
      <c r="AS136" s="5">
        <v>93.7</v>
      </c>
      <c r="AT136" s="5">
        <v>106.03</v>
      </c>
      <c r="AU136" s="5">
        <v>94.38</v>
      </c>
      <c r="AV136" s="5">
        <v>104.3</v>
      </c>
      <c r="AW136" s="5">
        <v>97.32</v>
      </c>
      <c r="AX136" s="5">
        <v>106.64</v>
      </c>
      <c r="AY136" s="5">
        <v>95.03</v>
      </c>
      <c r="AZ136" s="5">
        <v>112.42</v>
      </c>
      <c r="BA136" s="5">
        <v>89.42</v>
      </c>
      <c r="BB136">
        <f t="shared" si="174"/>
        <v>6.5</v>
      </c>
      <c r="BC136" s="5">
        <v>105.81</v>
      </c>
      <c r="BD136" s="5">
        <v>93.2</v>
      </c>
      <c r="BE136" s="5">
        <v>109.24</v>
      </c>
      <c r="BF136" s="5">
        <v>88.16</v>
      </c>
      <c r="BG136" s="5">
        <v>105.92</v>
      </c>
      <c r="BH136" s="5">
        <v>94.71</v>
      </c>
      <c r="BI136" s="5">
        <v>105.02</v>
      </c>
      <c r="BJ136" s="5">
        <v>96.51</v>
      </c>
      <c r="BK136" s="5">
        <v>106.87</v>
      </c>
      <c r="BL136" s="5">
        <v>95.24</v>
      </c>
      <c r="BM136" s="5">
        <v>102.54</v>
      </c>
      <c r="BN136" s="5">
        <v>99.76</v>
      </c>
      <c r="BO136">
        <f t="shared" si="175"/>
        <v>6.5</v>
      </c>
      <c r="BP136" s="5">
        <v>106.22</v>
      </c>
      <c r="BQ136" s="5">
        <v>93.59</v>
      </c>
      <c r="BR136" s="5">
        <v>108.83</v>
      </c>
      <c r="BS136" s="5">
        <v>90.73</v>
      </c>
      <c r="BT136" s="5">
        <v>107.14</v>
      </c>
      <c r="BU136" s="5">
        <v>93.82</v>
      </c>
      <c r="BV136" s="5">
        <v>106.76</v>
      </c>
      <c r="BW136" s="5">
        <v>94.95</v>
      </c>
      <c r="BX136" s="5">
        <v>104.47</v>
      </c>
      <c r="BY136" s="5">
        <v>97.99</v>
      </c>
      <c r="BZ136">
        <f t="shared" si="176"/>
        <v>6.5</v>
      </c>
      <c r="CA136" s="5">
        <v>110.94</v>
      </c>
      <c r="CB136" s="5">
        <v>86.76</v>
      </c>
      <c r="CC136" s="5">
        <v>109.51</v>
      </c>
      <c r="CD136" s="5">
        <v>90.2</v>
      </c>
      <c r="CE136" s="5">
        <v>112.61</v>
      </c>
      <c r="CF136" s="5">
        <v>87.49</v>
      </c>
      <c r="CG136" s="5">
        <v>106.99</v>
      </c>
      <c r="CH136" s="5">
        <v>94.83</v>
      </c>
      <c r="CI136" s="5">
        <v>107.32</v>
      </c>
      <c r="CJ136" s="5">
        <v>95.42</v>
      </c>
      <c r="CM136" s="13" t="s">
        <v>167</v>
      </c>
      <c r="CN136" s="20">
        <v>48.15849</v>
      </c>
      <c r="CO136" s="20">
        <v>-103.65009999999999</v>
      </c>
      <c r="CP136" s="19">
        <v>0.28999999999999998</v>
      </c>
      <c r="CQ136" s="19">
        <v>0.38599999999999995</v>
      </c>
      <c r="CR136" s="19">
        <v>0.34800000000000003</v>
      </c>
      <c r="CS136" s="19">
        <v>0.32499999999999996</v>
      </c>
      <c r="CT136" s="98">
        <v>270.92777777777781</v>
      </c>
      <c r="CU136" s="98">
        <v>293.15000000000003</v>
      </c>
      <c r="CV136" s="98">
        <v>302.03888888888895</v>
      </c>
      <c r="CW136" s="98">
        <v>276.48333333333335</v>
      </c>
      <c r="CX136" s="104">
        <v>1</v>
      </c>
      <c r="CY136" s="104">
        <v>2</v>
      </c>
      <c r="CZ136" s="104">
        <v>3</v>
      </c>
      <c r="DA136" s="104">
        <v>4</v>
      </c>
      <c r="DB136" s="104">
        <v>1</v>
      </c>
    </row>
    <row r="137" spans="7:153">
      <c r="H137" t="s">
        <v>275</v>
      </c>
      <c r="I137" s="100">
        <v>11.5</v>
      </c>
      <c r="J137" s="5">
        <f t="shared" ca="1" si="161"/>
        <v>25.52</v>
      </c>
      <c r="K137" s="5">
        <f t="shared" ca="1" si="162"/>
        <v>59.631999999999977</v>
      </c>
      <c r="L137" s="5">
        <f t="shared" ca="1" si="163"/>
        <v>58.015666666666675</v>
      </c>
      <c r="M137" s="5">
        <f t="shared" ca="1" si="164"/>
        <v>26.042999999999985</v>
      </c>
      <c r="O137" s="100">
        <v>11.5</v>
      </c>
      <c r="P137" s="5">
        <f t="shared" ca="1" si="165"/>
        <v>285.12180261388693</v>
      </c>
      <c r="Q137" s="5">
        <f t="shared" ca="1" si="166"/>
        <v>461.30382958607436</v>
      </c>
      <c r="R137" s="5">
        <f t="shared" ca="1" si="167"/>
        <v>414.25631867796636</v>
      </c>
      <c r="S137" s="5">
        <f t="shared" ca="1" si="168"/>
        <v>236.90913536097554</v>
      </c>
      <c r="U137" s="100">
        <v>11.5</v>
      </c>
      <c r="V137" s="5">
        <f t="shared" ca="1" si="169"/>
        <v>2.8960415510400002</v>
      </c>
      <c r="W137" s="5">
        <f t="shared" ca="1" si="170"/>
        <v>5.7350732519679983</v>
      </c>
      <c r="X137" s="5">
        <f t="shared" ca="1" si="171"/>
        <v>5.7745852045386679</v>
      </c>
      <c r="Y137" s="5">
        <f t="shared" ca="1" si="172"/>
        <v>2.6213779576799991</v>
      </c>
      <c r="AO137" s="5">
        <f t="shared" si="173"/>
        <v>7.5</v>
      </c>
      <c r="AP137" s="5">
        <v>113.78</v>
      </c>
      <c r="AQ137" s="5">
        <v>78.47</v>
      </c>
      <c r="AR137" s="5">
        <v>113.74</v>
      </c>
      <c r="AS137" s="5">
        <v>81.52</v>
      </c>
      <c r="AT137" s="5">
        <v>114.82</v>
      </c>
      <c r="AU137" s="5">
        <v>82.86</v>
      </c>
      <c r="AV137" s="5">
        <v>113.87</v>
      </c>
      <c r="AW137" s="5">
        <v>86.37</v>
      </c>
      <c r="AX137" s="5">
        <v>116.89</v>
      </c>
      <c r="AY137" s="5">
        <v>84.83</v>
      </c>
      <c r="AZ137" s="5">
        <v>123.29</v>
      </c>
      <c r="BA137" s="5">
        <v>79.84</v>
      </c>
      <c r="BB137">
        <f t="shared" si="174"/>
        <v>7.5</v>
      </c>
      <c r="BC137" s="5">
        <v>112.67</v>
      </c>
      <c r="BD137" s="5">
        <v>80.48</v>
      </c>
      <c r="BE137" s="5">
        <v>117.5</v>
      </c>
      <c r="BF137" s="5">
        <v>76.27</v>
      </c>
      <c r="BG137" s="5">
        <v>114.88</v>
      </c>
      <c r="BH137" s="5">
        <v>83.34</v>
      </c>
      <c r="BI137" s="5">
        <v>114.79</v>
      </c>
      <c r="BJ137" s="5">
        <v>85.88</v>
      </c>
      <c r="BK137" s="5">
        <v>117.49</v>
      </c>
      <c r="BL137" s="5">
        <v>85.44</v>
      </c>
      <c r="BM137" s="5">
        <v>113.47</v>
      </c>
      <c r="BN137" s="5">
        <v>90.14</v>
      </c>
      <c r="BO137">
        <f t="shared" si="175"/>
        <v>7.5</v>
      </c>
      <c r="BP137" s="5">
        <v>114.44</v>
      </c>
      <c r="BQ137" s="5">
        <v>81.69</v>
      </c>
      <c r="BR137" s="5">
        <v>118.04</v>
      </c>
      <c r="BS137" s="5">
        <v>79.48</v>
      </c>
      <c r="BT137" s="5">
        <v>116.76</v>
      </c>
      <c r="BU137" s="5">
        <v>82.91</v>
      </c>
      <c r="BV137" s="5">
        <v>117.01</v>
      </c>
      <c r="BW137" s="5">
        <v>84.77</v>
      </c>
      <c r="BX137" s="5">
        <v>115.38</v>
      </c>
      <c r="BY137" s="5">
        <v>88.45</v>
      </c>
      <c r="BZ137">
        <f t="shared" si="176"/>
        <v>7.5</v>
      </c>
      <c r="CA137" s="5">
        <v>119.95</v>
      </c>
      <c r="CB137" s="5">
        <v>75.36</v>
      </c>
      <c r="CC137" s="5">
        <v>118.98</v>
      </c>
      <c r="CD137" s="5">
        <v>79.22</v>
      </c>
      <c r="CE137" s="5">
        <v>122.87</v>
      </c>
      <c r="CF137" s="5">
        <v>76.28</v>
      </c>
      <c r="CG137" s="5">
        <v>117.31</v>
      </c>
      <c r="CH137" s="5">
        <v>84.71</v>
      </c>
      <c r="CI137" s="5">
        <v>118.38</v>
      </c>
      <c r="CJ137" s="5">
        <v>86.14</v>
      </c>
      <c r="CM137" s="13" t="s">
        <v>168</v>
      </c>
      <c r="CN137" s="20">
        <v>40.919350000000001</v>
      </c>
      <c r="CO137" s="20">
        <v>-98.371510000000001</v>
      </c>
      <c r="CP137" s="19">
        <v>0.30199999999999999</v>
      </c>
      <c r="CQ137" s="19">
        <v>0.38499999999999995</v>
      </c>
      <c r="CR137" s="19">
        <v>0.34200000000000003</v>
      </c>
      <c r="CS137" s="19">
        <v>0.29400000000000004</v>
      </c>
      <c r="CT137" s="98">
        <v>277.59444444444443</v>
      </c>
      <c r="CU137" s="98">
        <v>295.92777777777781</v>
      </c>
      <c r="CV137" s="98">
        <v>302.59444444444449</v>
      </c>
      <c r="CW137" s="98">
        <v>282.59444444444443</v>
      </c>
      <c r="CX137" s="104">
        <v>1</v>
      </c>
      <c r="CY137" s="104">
        <v>2</v>
      </c>
      <c r="CZ137" s="104">
        <v>3</v>
      </c>
      <c r="DA137" s="104">
        <v>4</v>
      </c>
      <c r="DB137" s="104">
        <v>1</v>
      </c>
    </row>
    <row r="138" spans="7:153">
      <c r="H138" t="s">
        <v>276</v>
      </c>
      <c r="I138" s="100">
        <v>12.5</v>
      </c>
      <c r="J138" s="5">
        <f t="shared" ca="1" si="161"/>
        <v>25.52</v>
      </c>
      <c r="K138" s="5">
        <f t="shared" ca="1" si="162"/>
        <v>56.212999999999965</v>
      </c>
      <c r="L138" s="5">
        <f t="shared" ca="1" si="163"/>
        <v>56.909333333333343</v>
      </c>
      <c r="M138" s="5">
        <f t="shared" ca="1" si="164"/>
        <v>23.774666666666665</v>
      </c>
      <c r="O138" s="100">
        <v>12.5</v>
      </c>
      <c r="P138" s="5">
        <f t="shared" ca="1" si="165"/>
        <v>285.12180261388693</v>
      </c>
      <c r="Q138" s="5">
        <f t="shared" ca="1" si="166"/>
        <v>434.85498008656413</v>
      </c>
      <c r="R138" s="5">
        <f t="shared" ca="1" si="167"/>
        <v>406.35663226169856</v>
      </c>
      <c r="S138" s="5">
        <f t="shared" ca="1" si="168"/>
        <v>216.274458529947</v>
      </c>
      <c r="U138" s="100">
        <v>12.5</v>
      </c>
      <c r="V138" s="5">
        <f t="shared" ca="1" si="169"/>
        <v>2.8960415510400002</v>
      </c>
      <c r="W138" s="5">
        <f t="shared" ca="1" si="170"/>
        <v>5.4062528963119973</v>
      </c>
      <c r="X138" s="5">
        <f t="shared" ca="1" si="171"/>
        <v>5.6644663958613348</v>
      </c>
      <c r="Y138" s="5">
        <f t="shared" ca="1" si="172"/>
        <v>2.3930571420800004</v>
      </c>
      <c r="AO138" s="5">
        <f t="shared" si="173"/>
        <v>8.5</v>
      </c>
      <c r="AP138" s="5">
        <v>122.35</v>
      </c>
      <c r="AQ138" s="5">
        <v>66.62</v>
      </c>
      <c r="AR138" s="5">
        <v>122.92</v>
      </c>
      <c r="AS138" s="5">
        <v>70.16</v>
      </c>
      <c r="AT138" s="5">
        <v>124.86</v>
      </c>
      <c r="AU138" s="5">
        <v>72.290000000000006</v>
      </c>
      <c r="AV138" s="5">
        <v>124.4</v>
      </c>
      <c r="AW138" s="5">
        <v>76.38</v>
      </c>
      <c r="AX138" s="5">
        <v>128.16</v>
      </c>
      <c r="AY138" s="5">
        <v>75.59</v>
      </c>
      <c r="AZ138" s="5">
        <v>135.44999999999999</v>
      </c>
      <c r="BA138" s="5">
        <v>73.02</v>
      </c>
      <c r="BB138">
        <f t="shared" si="174"/>
        <v>8.5</v>
      </c>
      <c r="BC138" s="5">
        <v>120.98</v>
      </c>
      <c r="BD138" s="5">
        <v>68.58</v>
      </c>
      <c r="BE138" s="5">
        <v>127.49</v>
      </c>
      <c r="BF138" s="5">
        <v>65.540000000000006</v>
      </c>
      <c r="BG138" s="5">
        <v>125.05</v>
      </c>
      <c r="BH138" s="5">
        <v>73.36</v>
      </c>
      <c r="BI138" s="5">
        <v>125.54</v>
      </c>
      <c r="BJ138" s="5">
        <v>76.03</v>
      </c>
      <c r="BK138" s="5">
        <v>129.05000000000001</v>
      </c>
      <c r="BL138" s="5">
        <v>76.61</v>
      </c>
      <c r="BM138" s="5">
        <v>125.02</v>
      </c>
      <c r="BN138" s="5">
        <v>81.52</v>
      </c>
      <c r="BO138">
        <f t="shared" si="175"/>
        <v>8.5</v>
      </c>
      <c r="BP138" s="5">
        <v>124.01</v>
      </c>
      <c r="BQ138" s="5">
        <v>70.66</v>
      </c>
      <c r="BR138" s="5">
        <v>128.69999999999999</v>
      </c>
      <c r="BS138" s="5">
        <v>69.38</v>
      </c>
      <c r="BT138" s="5">
        <v>127.58</v>
      </c>
      <c r="BU138" s="5">
        <v>73.11</v>
      </c>
      <c r="BV138" s="5">
        <v>128.28</v>
      </c>
      <c r="BW138" s="5">
        <v>75.58</v>
      </c>
      <c r="BX138" s="5">
        <v>127.02</v>
      </c>
      <c r="BY138" s="5">
        <v>79.790000000000006</v>
      </c>
      <c r="BZ138">
        <f t="shared" si="176"/>
        <v>8.5</v>
      </c>
      <c r="CA138" s="5">
        <v>130.72999999999999</v>
      </c>
      <c r="CB138" s="5">
        <v>65.099999999999994</v>
      </c>
      <c r="CC138" s="5">
        <v>129.91</v>
      </c>
      <c r="CD138" s="5">
        <v>69.319999999999993</v>
      </c>
      <c r="CE138" s="5">
        <v>134.68</v>
      </c>
      <c r="CF138" s="5">
        <v>68.150000000000006</v>
      </c>
      <c r="CG138" s="5">
        <v>128.66</v>
      </c>
      <c r="CH138" s="5">
        <v>75.53</v>
      </c>
      <c r="CI138" s="5">
        <v>130.30000000000001</v>
      </c>
      <c r="CJ138" s="5">
        <v>77.8</v>
      </c>
      <c r="CM138" s="17" t="s">
        <v>169</v>
      </c>
      <c r="CN138" s="20">
        <v>40.818440000000002</v>
      </c>
      <c r="CO138" s="20">
        <v>-96.691659999999999</v>
      </c>
      <c r="CP138" s="19">
        <v>0.32199999999999995</v>
      </c>
      <c r="CQ138" s="19">
        <v>0.371</v>
      </c>
      <c r="CR138" s="19">
        <v>0.26700000000000002</v>
      </c>
      <c r="CS138" s="19">
        <v>0.29700000000000004</v>
      </c>
      <c r="CT138" s="98">
        <v>277.59444444444443</v>
      </c>
      <c r="CU138" s="98">
        <v>296.48333333333335</v>
      </c>
      <c r="CV138" s="98">
        <v>303.70555555555558</v>
      </c>
      <c r="CW138" s="98">
        <v>283.14999999999998</v>
      </c>
      <c r="CX138" s="104">
        <v>5</v>
      </c>
      <c r="CY138" s="104">
        <v>6</v>
      </c>
      <c r="CZ138" s="104">
        <v>7</v>
      </c>
      <c r="DA138" s="104">
        <v>8</v>
      </c>
      <c r="DB138" s="104">
        <v>2</v>
      </c>
    </row>
    <row r="139" spans="7:153">
      <c r="G139" s="11"/>
      <c r="H139" t="s">
        <v>277</v>
      </c>
      <c r="I139" s="100">
        <v>13.5</v>
      </c>
      <c r="J139" s="5">
        <f t="shared" ca="1" si="161"/>
        <v>23.334000000000003</v>
      </c>
      <c r="K139" s="5">
        <f t="shared" ca="1" si="162"/>
        <v>49.40499999999998</v>
      </c>
      <c r="L139" s="5">
        <f t="shared" ca="1" si="163"/>
        <v>50.124666666666663</v>
      </c>
      <c r="M139" s="5">
        <f t="shared" ca="1" si="164"/>
        <v>21.61666666666666</v>
      </c>
      <c r="O139" s="100">
        <v>13.5</v>
      </c>
      <c r="P139" s="5">
        <f t="shared" ca="1" si="165"/>
        <v>260.69875165330876</v>
      </c>
      <c r="Q139" s="5">
        <f t="shared" ca="1" si="166"/>
        <v>382.18935639757183</v>
      </c>
      <c r="R139" s="5">
        <f t="shared" ca="1" si="167"/>
        <v>357.91125193126288</v>
      </c>
      <c r="S139" s="5">
        <f t="shared" ca="1" si="168"/>
        <v>196.64346693493158</v>
      </c>
      <c r="U139" s="100">
        <v>13.5</v>
      </c>
      <c r="V139" s="5">
        <f t="shared" ca="1" si="169"/>
        <v>2.6479715341680006</v>
      </c>
      <c r="W139" s="5">
        <f t="shared" ca="1" si="170"/>
        <v>4.7514974177199987</v>
      </c>
      <c r="X139" s="5">
        <f t="shared" ca="1" si="171"/>
        <v>4.9891550876906665</v>
      </c>
      <c r="Y139" s="5">
        <f t="shared" ca="1" si="172"/>
        <v>2.1758420119999999</v>
      </c>
      <c r="AO139" s="5">
        <f t="shared" si="173"/>
        <v>9.5</v>
      </c>
      <c r="AP139" s="5">
        <v>133.49</v>
      </c>
      <c r="AQ139" s="5">
        <v>55.91</v>
      </c>
      <c r="AR139" s="5">
        <v>134.31</v>
      </c>
      <c r="AS139" s="5">
        <v>60</v>
      </c>
      <c r="AT139" s="5">
        <v>136.86000000000001</v>
      </c>
      <c r="AU139" s="5">
        <v>62.99</v>
      </c>
      <c r="AV139" s="5">
        <v>136.5</v>
      </c>
      <c r="AW139" s="5">
        <v>67.650000000000006</v>
      </c>
      <c r="AX139" s="5">
        <v>140.97</v>
      </c>
      <c r="AY139" s="5">
        <v>67.760000000000005</v>
      </c>
      <c r="AZ139" s="5">
        <v>149.29</v>
      </c>
      <c r="BA139" s="5">
        <v>65.180000000000007</v>
      </c>
      <c r="BB139">
        <f t="shared" si="174"/>
        <v>9.5</v>
      </c>
      <c r="BC139" s="5">
        <v>131.68</v>
      </c>
      <c r="BD139" s="5">
        <v>57.56</v>
      </c>
      <c r="BE139" s="5">
        <v>140.12</v>
      </c>
      <c r="BF139" s="5">
        <v>55.91</v>
      </c>
      <c r="BG139" s="5">
        <v>137.12</v>
      </c>
      <c r="BH139" s="5">
        <v>63.64</v>
      </c>
      <c r="BI139" s="5">
        <v>137.87</v>
      </c>
      <c r="BJ139" s="5">
        <v>67.59</v>
      </c>
      <c r="BK139" s="5">
        <v>142.03</v>
      </c>
      <c r="BL139" s="5">
        <v>69.150000000000006</v>
      </c>
      <c r="BM139" s="5">
        <v>137.66</v>
      </c>
      <c r="BN139" s="5">
        <v>74.010000000000005</v>
      </c>
      <c r="BO139">
        <f t="shared" si="175"/>
        <v>9.5</v>
      </c>
      <c r="BP139" s="5">
        <v>135.72</v>
      </c>
      <c r="BQ139" s="5">
        <v>60.89</v>
      </c>
      <c r="BR139" s="5">
        <v>141.52000000000001</v>
      </c>
      <c r="BS139" s="5">
        <v>60.8</v>
      </c>
      <c r="BT139" s="5">
        <v>140.19999999999999</v>
      </c>
      <c r="BU139" s="5">
        <v>64.709999999999994</v>
      </c>
      <c r="BV139" s="5">
        <v>141.09</v>
      </c>
      <c r="BW139" s="5">
        <v>67.7</v>
      </c>
      <c r="BX139" s="5">
        <v>139.83000000000001</v>
      </c>
      <c r="BY139" s="5">
        <v>72.44</v>
      </c>
      <c r="BZ139">
        <f t="shared" si="176"/>
        <v>9.5</v>
      </c>
      <c r="CA139" s="5">
        <v>144.09</v>
      </c>
      <c r="CB139" s="5">
        <v>56.52</v>
      </c>
      <c r="CC139" s="5">
        <v>142.96</v>
      </c>
      <c r="CD139" s="5">
        <v>61.05</v>
      </c>
      <c r="CE139" s="5">
        <v>148.56</v>
      </c>
      <c r="CF139" s="5">
        <v>60.94</v>
      </c>
      <c r="CG139" s="5">
        <v>141.54</v>
      </c>
      <c r="CH139" s="5">
        <v>67.81</v>
      </c>
      <c r="CI139" s="5">
        <v>143.49</v>
      </c>
      <c r="CJ139" s="5">
        <v>70.88</v>
      </c>
      <c r="CM139" s="18" t="s">
        <v>170</v>
      </c>
      <c r="CN139" s="20">
        <v>41.328330000000001</v>
      </c>
      <c r="CO139" s="20">
        <v>-95.985510000000005</v>
      </c>
      <c r="CP139" s="19">
        <v>0.32799999999999996</v>
      </c>
      <c r="CQ139" s="19">
        <v>0.36899999999999999</v>
      </c>
      <c r="CR139" s="19">
        <v>0.26100000000000001</v>
      </c>
      <c r="CS139" s="19">
        <v>0.30800000000000005</v>
      </c>
      <c r="CT139" s="98">
        <v>275.92777777777781</v>
      </c>
      <c r="CU139" s="98">
        <v>295.92777777777781</v>
      </c>
      <c r="CV139" s="98">
        <v>303.15000000000003</v>
      </c>
      <c r="CW139" s="98">
        <v>282.03888888888889</v>
      </c>
      <c r="CX139" s="104">
        <v>5</v>
      </c>
      <c r="CY139" s="104">
        <v>6</v>
      </c>
      <c r="CZ139" s="104">
        <v>7</v>
      </c>
      <c r="DA139" s="104">
        <v>8</v>
      </c>
      <c r="DB139" s="104">
        <v>2</v>
      </c>
    </row>
    <row r="140" spans="7:153">
      <c r="H140" t="s">
        <v>278</v>
      </c>
      <c r="I140" s="100">
        <v>14.5</v>
      </c>
      <c r="J140" s="5">
        <f t="shared" ca="1" si="161"/>
        <v>18.96200000000001</v>
      </c>
      <c r="K140" s="5">
        <f t="shared" ca="1" si="162"/>
        <v>38.723333333333343</v>
      </c>
      <c r="L140" s="5">
        <f t="shared" ca="1" si="163"/>
        <v>40.292666666666662</v>
      </c>
      <c r="M140" s="5">
        <f t="shared" ca="1" si="164"/>
        <v>16.473333333333333</v>
      </c>
      <c r="O140" s="100">
        <v>14.5</v>
      </c>
      <c r="P140" s="5">
        <f t="shared" ca="1" si="165"/>
        <v>211.85264973215232</v>
      </c>
      <c r="Q140" s="5">
        <f t="shared" ca="1" si="166"/>
        <v>299.5576529548693</v>
      </c>
      <c r="R140" s="5">
        <f t="shared" ca="1" si="167"/>
        <v>287.70662688328554</v>
      </c>
      <c r="S140" s="5">
        <f t="shared" ca="1" si="168"/>
        <v>149.85536061564102</v>
      </c>
      <c r="U140" s="100">
        <v>14.5</v>
      </c>
      <c r="V140" s="5">
        <f t="shared" ca="1" si="169"/>
        <v>2.1518315004240014</v>
      </c>
      <c r="W140" s="5">
        <f t="shared" ca="1" si="170"/>
        <v>3.7241942786933344</v>
      </c>
      <c r="X140" s="5">
        <f t="shared" ca="1" si="171"/>
        <v>4.0105276755946662</v>
      </c>
      <c r="Y140" s="5">
        <f t="shared" ca="1" si="172"/>
        <v>1.6581358864000004</v>
      </c>
      <c r="AO140" s="5">
        <f t="shared" si="173"/>
        <v>10.5</v>
      </c>
      <c r="AP140" s="5">
        <v>148.4</v>
      </c>
      <c r="AQ140" s="5">
        <v>47.36</v>
      </c>
      <c r="AR140" s="5">
        <v>148.80000000000001</v>
      </c>
      <c r="AS140" s="5">
        <v>51.94</v>
      </c>
      <c r="AT140" s="5">
        <v>151.44</v>
      </c>
      <c r="AU140" s="5">
        <v>55.8</v>
      </c>
      <c r="AV140" s="5">
        <v>150.66</v>
      </c>
      <c r="AW140" s="5">
        <v>60.83</v>
      </c>
      <c r="AX140" s="5">
        <v>155.6</v>
      </c>
      <c r="AY140" s="5">
        <v>61.99</v>
      </c>
      <c r="AZ140" s="5">
        <v>164.85</v>
      </c>
      <c r="BA140" s="5">
        <v>60.61</v>
      </c>
      <c r="BB140">
        <f t="shared" si="174"/>
        <v>10.5</v>
      </c>
      <c r="BC140" s="5">
        <v>145.94999999999999</v>
      </c>
      <c r="BD140" s="5">
        <v>48.69</v>
      </c>
      <c r="BE140" s="5">
        <v>156.18</v>
      </c>
      <c r="BF140" s="5">
        <v>49.02</v>
      </c>
      <c r="BG140" s="5">
        <v>151.66</v>
      </c>
      <c r="BH140" s="5">
        <v>56.68</v>
      </c>
      <c r="BI140" s="5">
        <v>152.19999999999999</v>
      </c>
      <c r="BJ140" s="5">
        <v>61.13</v>
      </c>
      <c r="BK140" s="5">
        <v>156.65</v>
      </c>
      <c r="BL140" s="5">
        <v>63.76</v>
      </c>
      <c r="BM140" s="5">
        <v>151.65</v>
      </c>
      <c r="BN140" s="5">
        <v>68.260000000000005</v>
      </c>
      <c r="BO140">
        <f t="shared" si="175"/>
        <v>10.5</v>
      </c>
      <c r="BP140" s="5">
        <v>150.35</v>
      </c>
      <c r="BQ140" s="5">
        <v>53.27</v>
      </c>
      <c r="BR140" s="5">
        <v>156.96</v>
      </c>
      <c r="BS140" s="5">
        <v>54.56</v>
      </c>
      <c r="BT140" s="5">
        <v>155.03</v>
      </c>
      <c r="BU140" s="5">
        <v>58.45</v>
      </c>
      <c r="BV140" s="5">
        <v>155.74</v>
      </c>
      <c r="BW140" s="5">
        <v>61.93</v>
      </c>
      <c r="BX140" s="5">
        <v>154.07</v>
      </c>
      <c r="BY140" s="5">
        <v>66.930000000000007</v>
      </c>
      <c r="BZ140">
        <f t="shared" si="176"/>
        <v>10.5</v>
      </c>
      <c r="CA140" s="5">
        <v>160.52000000000001</v>
      </c>
      <c r="CB140" s="5">
        <v>50.07</v>
      </c>
      <c r="CC140" s="5">
        <v>158.52000000000001</v>
      </c>
      <c r="CD140" s="5">
        <v>55.14</v>
      </c>
      <c r="CE140" s="5">
        <v>164.6</v>
      </c>
      <c r="CF140" s="5">
        <v>56.3</v>
      </c>
      <c r="CG140" s="5">
        <v>156.22</v>
      </c>
      <c r="CH140" s="5">
        <v>62.11</v>
      </c>
      <c r="CI140" s="5">
        <v>158.09</v>
      </c>
      <c r="CJ140" s="5">
        <v>65.930000000000007</v>
      </c>
      <c r="CM140" s="13" t="s">
        <v>171</v>
      </c>
      <c r="CN140" s="20">
        <v>41.12171</v>
      </c>
      <c r="CO140" s="20">
        <v>-100.77811</v>
      </c>
      <c r="CP140" s="19">
        <v>0.23100000000000004</v>
      </c>
      <c r="CQ140" s="19">
        <v>0.35700000000000004</v>
      </c>
      <c r="CR140" s="19">
        <v>0.312</v>
      </c>
      <c r="CS140" s="19">
        <v>0.22799999999999998</v>
      </c>
      <c r="CT140" s="98">
        <v>278.14999999999998</v>
      </c>
      <c r="CU140" s="98">
        <v>294.81666666666672</v>
      </c>
      <c r="CV140" s="98">
        <v>303.15000000000003</v>
      </c>
      <c r="CW140" s="98">
        <v>282.59444444444443</v>
      </c>
      <c r="CX140" s="104">
        <v>1</v>
      </c>
      <c r="CY140" s="104">
        <v>2</v>
      </c>
      <c r="CZ140" s="104">
        <v>3</v>
      </c>
      <c r="DA140" s="104">
        <v>4</v>
      </c>
      <c r="DB140" s="104">
        <v>1</v>
      </c>
    </row>
    <row r="141" spans="7:153">
      <c r="H141" t="s">
        <v>279</v>
      </c>
      <c r="I141" s="100">
        <v>15.5</v>
      </c>
      <c r="J141" s="5">
        <f t="shared" ca="1" si="161"/>
        <v>12.759333333333334</v>
      </c>
      <c r="K141" s="5">
        <f t="shared" ca="1" si="162"/>
        <v>29.493333333333332</v>
      </c>
      <c r="L141" s="5">
        <f t="shared" ca="1" si="163"/>
        <v>30.850333333333332</v>
      </c>
      <c r="M141" s="5">
        <f t="shared" ca="1" si="164"/>
        <v>9.3773333333333344</v>
      </c>
      <c r="O141" s="100">
        <v>15.5</v>
      </c>
      <c r="P141" s="5">
        <f t="shared" ca="1" si="165"/>
        <v>142.55345298399118</v>
      </c>
      <c r="Q141" s="5">
        <f t="shared" ca="1" si="166"/>
        <v>228.15581590295966</v>
      </c>
      <c r="R141" s="5">
        <f t="shared" ca="1" si="167"/>
        <v>220.28438611389143</v>
      </c>
      <c r="S141" s="5">
        <f t="shared" ca="1" si="168"/>
        <v>85.304148216090937</v>
      </c>
      <c r="U141" s="100">
        <v>15.5</v>
      </c>
      <c r="V141" s="5">
        <f t="shared" ca="1" si="169"/>
        <v>1.447945121352</v>
      </c>
      <c r="W141" s="5">
        <f t="shared" ca="1" si="170"/>
        <v>2.8365043451733336</v>
      </c>
      <c r="X141" s="5">
        <f t="shared" ca="1" si="171"/>
        <v>3.0706857071093334</v>
      </c>
      <c r="Y141" s="5">
        <f t="shared" ca="1" si="172"/>
        <v>0.94388261344000035</v>
      </c>
      <c r="AO141" s="5">
        <f t="shared" si="173"/>
        <v>11.5</v>
      </c>
      <c r="AP141" s="5">
        <v>167.64</v>
      </c>
      <c r="AQ141" s="5">
        <v>42.24</v>
      </c>
      <c r="AR141" s="5">
        <v>166.71</v>
      </c>
      <c r="AS141" s="5">
        <v>47.03</v>
      </c>
      <c r="AT141" s="5">
        <v>168.62</v>
      </c>
      <c r="AU141" s="5">
        <v>51.61</v>
      </c>
      <c r="AV141" s="5">
        <v>166.86</v>
      </c>
      <c r="AW141" s="5">
        <v>56.09</v>
      </c>
      <c r="AX141" s="5">
        <v>171.84</v>
      </c>
      <c r="AY141" s="5">
        <v>59.05</v>
      </c>
      <c r="AZ141" s="5">
        <v>181.48</v>
      </c>
      <c r="BA141" s="5">
        <v>59.34</v>
      </c>
      <c r="BB141">
        <f t="shared" si="174"/>
        <v>11.5</v>
      </c>
      <c r="BC141" s="5">
        <v>164.52</v>
      </c>
      <c r="BD141" s="5">
        <v>43.06</v>
      </c>
      <c r="BE141" s="5">
        <v>175.35</v>
      </c>
      <c r="BF141" s="5">
        <v>45.82</v>
      </c>
      <c r="BG141" s="5">
        <v>168.67</v>
      </c>
      <c r="BH141" s="5">
        <v>52.55</v>
      </c>
      <c r="BI141" s="5">
        <v>168.43</v>
      </c>
      <c r="BJ141" s="5">
        <v>57.21</v>
      </c>
      <c r="BK141" s="5">
        <v>172.65</v>
      </c>
      <c r="BL141" s="5">
        <v>60.94</v>
      </c>
      <c r="BM141" s="5">
        <v>166.93</v>
      </c>
      <c r="BN141" s="5">
        <v>64.709999999999994</v>
      </c>
      <c r="BO141">
        <f t="shared" si="175"/>
        <v>11.5</v>
      </c>
      <c r="BP141" s="5">
        <v>168.04</v>
      </c>
      <c r="BQ141" s="5">
        <v>48.78</v>
      </c>
      <c r="BR141" s="5">
        <v>174.68</v>
      </c>
      <c r="BS141" s="5">
        <v>51.48</v>
      </c>
      <c r="BT141" s="5">
        <v>171.84</v>
      </c>
      <c r="BU141" s="5">
        <v>55.14</v>
      </c>
      <c r="BV141" s="5">
        <v>171.99</v>
      </c>
      <c r="BW141" s="5">
        <v>58.89</v>
      </c>
      <c r="BX141" s="5">
        <v>169.59</v>
      </c>
      <c r="BY141" s="5">
        <v>63.76</v>
      </c>
      <c r="BZ141">
        <f t="shared" si="176"/>
        <v>11.5</v>
      </c>
      <c r="CA141" s="5">
        <v>179.31</v>
      </c>
      <c r="CB141" s="5">
        <v>48.41</v>
      </c>
      <c r="CC141" s="5">
        <v>176.14</v>
      </c>
      <c r="CD141" s="5">
        <v>52.46</v>
      </c>
      <c r="CE141" s="5">
        <v>182.04</v>
      </c>
      <c r="CF141" s="5">
        <v>54.97</v>
      </c>
      <c r="CG141" s="5">
        <v>172.44</v>
      </c>
      <c r="CH141" s="5">
        <v>59.23</v>
      </c>
      <c r="CI141" s="5">
        <v>173.84</v>
      </c>
      <c r="CJ141" s="5">
        <v>63.49</v>
      </c>
      <c r="CM141" s="13" t="s">
        <v>172</v>
      </c>
      <c r="CN141" s="20">
        <v>41.853409999999997</v>
      </c>
      <c r="CO141" s="20">
        <v>-103.68331000000001</v>
      </c>
      <c r="CP141" s="19">
        <v>0.312</v>
      </c>
      <c r="CQ141" s="19">
        <v>0.40899999999999997</v>
      </c>
      <c r="CR141" s="19">
        <v>0.32500000000000001</v>
      </c>
      <c r="CS141" s="19">
        <v>0.29500000000000004</v>
      </c>
      <c r="CT141" s="98">
        <v>279.81666666666666</v>
      </c>
      <c r="CU141" s="98">
        <v>295.37222222222226</v>
      </c>
      <c r="CV141" s="98">
        <v>304.26111111111112</v>
      </c>
      <c r="CW141" s="98">
        <v>283.14999999999998</v>
      </c>
      <c r="CX141" s="104">
        <v>1</v>
      </c>
      <c r="CY141" s="104">
        <v>2</v>
      </c>
      <c r="CZ141" s="104">
        <v>3</v>
      </c>
      <c r="DA141" s="104">
        <v>4</v>
      </c>
      <c r="DB141" s="104">
        <v>1</v>
      </c>
    </row>
    <row r="142" spans="7:153">
      <c r="H142" t="s">
        <v>280</v>
      </c>
      <c r="I142" s="100">
        <v>16.5</v>
      </c>
      <c r="J142" s="5">
        <f t="shared" ca="1" si="161"/>
        <v>4.8893333333333331</v>
      </c>
      <c r="K142" s="5">
        <f t="shared" ca="1" si="162"/>
        <v>20.85466666666666</v>
      </c>
      <c r="L142" s="5">
        <f t="shared" ca="1" si="163"/>
        <v>22.091333333333335</v>
      </c>
      <c r="M142" s="5">
        <f t="shared" ca="1" si="164"/>
        <v>0</v>
      </c>
      <c r="O142" s="100">
        <v>16.5</v>
      </c>
      <c r="P142" s="5">
        <f t="shared" ca="1" si="165"/>
        <v>54.626000532138107</v>
      </c>
      <c r="Q142" s="5">
        <f t="shared" ca="1" si="166"/>
        <v>161.32844107315512</v>
      </c>
      <c r="R142" s="5">
        <f t="shared" ca="1" si="167"/>
        <v>157.74143342926646</v>
      </c>
      <c r="S142" s="5">
        <f t="shared" ca="1" si="168"/>
        <v>0</v>
      </c>
      <c r="U142" s="100">
        <v>16.5</v>
      </c>
      <c r="V142" s="5">
        <f t="shared" ca="1" si="169"/>
        <v>0.55484766811200004</v>
      </c>
      <c r="W142" s="5">
        <f t="shared" ca="1" si="170"/>
        <v>2.0056855543786662</v>
      </c>
      <c r="X142" s="5">
        <f t="shared" ca="1" si="171"/>
        <v>2.1988592727573337</v>
      </c>
      <c r="Y142" s="5">
        <f t="shared" ca="1" si="172"/>
        <v>0</v>
      </c>
      <c r="AO142" s="5">
        <f t="shared" si="173"/>
        <v>12.5</v>
      </c>
      <c r="AP142" s="5">
        <v>189.25</v>
      </c>
      <c r="AQ142" s="5">
        <v>41.91</v>
      </c>
      <c r="AR142" s="5">
        <v>186.59</v>
      </c>
      <c r="AS142" s="5">
        <v>46.26</v>
      </c>
      <c r="AT142" s="5">
        <v>187.13</v>
      </c>
      <c r="AU142" s="5">
        <v>51.17</v>
      </c>
      <c r="AV142" s="5">
        <v>184.22</v>
      </c>
      <c r="AW142" s="5">
        <v>55.67</v>
      </c>
      <c r="AX142" s="5">
        <v>188.71</v>
      </c>
      <c r="AY142" s="5">
        <v>59.01</v>
      </c>
      <c r="AZ142" s="5">
        <v>197.98</v>
      </c>
      <c r="BA142" s="5">
        <v>62.54</v>
      </c>
      <c r="BB142">
        <f t="shared" si="174"/>
        <v>12.5</v>
      </c>
      <c r="BC142" s="5">
        <v>185.92</v>
      </c>
      <c r="BD142" s="5">
        <v>41.86</v>
      </c>
      <c r="BE142" s="5">
        <v>195.26</v>
      </c>
      <c r="BF142" s="5">
        <v>47.04</v>
      </c>
      <c r="BG142" s="5">
        <v>186.93</v>
      </c>
      <c r="BH142" s="5">
        <v>52.1</v>
      </c>
      <c r="BI142" s="5">
        <v>185.66</v>
      </c>
      <c r="BJ142" s="5">
        <v>56.68</v>
      </c>
      <c r="BK142" s="5">
        <v>189.17</v>
      </c>
      <c r="BL142" s="5">
        <v>61.02</v>
      </c>
      <c r="BM142" s="5">
        <v>182.94</v>
      </c>
      <c r="BN142" s="5">
        <v>63.81</v>
      </c>
      <c r="BO142">
        <f t="shared" si="175"/>
        <v>12.5</v>
      </c>
      <c r="BP142" s="5">
        <v>187.36</v>
      </c>
      <c r="BQ142" s="5">
        <v>48.04</v>
      </c>
      <c r="BR142" s="5">
        <v>193.02</v>
      </c>
      <c r="BS142" s="5">
        <v>52.48</v>
      </c>
      <c r="BT142" s="5">
        <v>189.44</v>
      </c>
      <c r="BU142" s="5">
        <v>55.3</v>
      </c>
      <c r="BV142" s="5">
        <v>188.86</v>
      </c>
      <c r="BW142" s="5">
        <v>58.85</v>
      </c>
      <c r="BX142" s="5">
        <v>185.71</v>
      </c>
      <c r="BY142" s="5">
        <v>63.38</v>
      </c>
      <c r="BZ142">
        <f t="shared" si="176"/>
        <v>12.5</v>
      </c>
      <c r="CA142" s="5">
        <v>198.19</v>
      </c>
      <c r="CB142" s="5">
        <v>50.4</v>
      </c>
      <c r="CC142" s="5">
        <v>194.17</v>
      </c>
      <c r="CD142" s="5">
        <v>53.59</v>
      </c>
      <c r="CE142" s="5">
        <v>199.27</v>
      </c>
      <c r="CF142" s="5">
        <v>57.13</v>
      </c>
      <c r="CG142" s="5">
        <v>189.24</v>
      </c>
      <c r="CH142" s="5">
        <v>59.39</v>
      </c>
      <c r="CI142" s="5">
        <v>189.96</v>
      </c>
      <c r="CJ142" s="5">
        <v>63.75</v>
      </c>
      <c r="CM142" s="13" t="s">
        <v>173</v>
      </c>
      <c r="CN142" s="20">
        <v>42.875030000000002</v>
      </c>
      <c r="CO142" s="20">
        <v>-100.54711</v>
      </c>
      <c r="CP142" s="19">
        <v>0.25199999999999995</v>
      </c>
      <c r="CQ142" s="19">
        <v>0.36900000000000005</v>
      </c>
      <c r="CR142" s="19">
        <v>0.308</v>
      </c>
      <c r="CS142" s="19">
        <v>0.249</v>
      </c>
      <c r="CT142" s="98">
        <v>277.59444444444443</v>
      </c>
      <c r="CU142" s="98">
        <v>294.81666666666672</v>
      </c>
      <c r="CV142" s="98">
        <v>303.70555555555558</v>
      </c>
      <c r="CW142" s="98">
        <v>282.03888888888889</v>
      </c>
      <c r="CX142" s="104">
        <v>1</v>
      </c>
      <c r="CY142" s="104">
        <v>2</v>
      </c>
      <c r="CZ142" s="104">
        <v>3</v>
      </c>
      <c r="DA142" s="104">
        <v>4</v>
      </c>
      <c r="DB142" s="104">
        <v>1</v>
      </c>
    </row>
    <row r="143" spans="7:153">
      <c r="H143" t="s">
        <v>281</v>
      </c>
      <c r="I143" s="100">
        <v>17.5</v>
      </c>
      <c r="J143" s="5">
        <f t="shared" ca="1" si="161"/>
        <v>0</v>
      </c>
      <c r="K143" s="5">
        <f t="shared" ca="1" si="162"/>
        <v>12.388333333333328</v>
      </c>
      <c r="L143" s="5">
        <f t="shared" ca="1" si="163"/>
        <v>13.813333333333331</v>
      </c>
      <c r="M143" s="5">
        <f t="shared" ca="1" si="164"/>
        <v>0</v>
      </c>
      <c r="O143" s="100">
        <v>17.5</v>
      </c>
      <c r="P143" s="5">
        <f t="shared" ca="1" si="165"/>
        <v>0</v>
      </c>
      <c r="Q143" s="5">
        <f t="shared" ca="1" si="166"/>
        <v>95.834209968732964</v>
      </c>
      <c r="R143" s="5">
        <f t="shared" ca="1" si="167"/>
        <v>98.633023528213187</v>
      </c>
      <c r="S143" s="5">
        <f t="shared" ca="1" si="168"/>
        <v>0</v>
      </c>
      <c r="U143" s="100">
        <v>17.5</v>
      </c>
      <c r="V143" s="5">
        <f t="shared" ca="1" si="169"/>
        <v>0</v>
      </c>
      <c r="W143" s="5">
        <f t="shared" ca="1" si="170"/>
        <v>1.1914408226533331</v>
      </c>
      <c r="X143" s="5">
        <f t="shared" ca="1" si="171"/>
        <v>1.3749091387733332</v>
      </c>
      <c r="Y143" s="5">
        <f t="shared" ca="1" si="172"/>
        <v>0</v>
      </c>
      <c r="AO143" s="5">
        <f t="shared" si="173"/>
        <v>13.5</v>
      </c>
      <c r="AP143" s="5">
        <v>209.03</v>
      </c>
      <c r="AQ143" s="5">
        <v>46.37</v>
      </c>
      <c r="AR143" s="5">
        <v>205.43</v>
      </c>
      <c r="AS143" s="5">
        <v>49.91</v>
      </c>
      <c r="AT143" s="5">
        <v>204.77</v>
      </c>
      <c r="AU143" s="5">
        <v>54.52</v>
      </c>
      <c r="AV143" s="5">
        <v>201.18</v>
      </c>
      <c r="AW143" s="5">
        <v>58.36</v>
      </c>
      <c r="AX143" s="5">
        <v>204.89</v>
      </c>
      <c r="AY143" s="5">
        <v>62.82</v>
      </c>
      <c r="AZ143" s="5">
        <v>213.25</v>
      </c>
      <c r="BA143" s="5">
        <v>65.989999999999995</v>
      </c>
      <c r="BB143">
        <f t="shared" si="174"/>
        <v>13.5</v>
      </c>
      <c r="BC143" s="5">
        <v>206.15</v>
      </c>
      <c r="BD143" s="5">
        <v>45.66</v>
      </c>
      <c r="BE143" s="5">
        <v>212.89</v>
      </c>
      <c r="BF143" s="5">
        <v>52.38</v>
      </c>
      <c r="BG143" s="5">
        <v>204.39</v>
      </c>
      <c r="BH143" s="5">
        <v>55.42</v>
      </c>
      <c r="BI143" s="5">
        <v>202.38</v>
      </c>
      <c r="BJ143" s="5">
        <v>59.45</v>
      </c>
      <c r="BK143" s="5">
        <v>205.04</v>
      </c>
      <c r="BL143" s="5">
        <v>64.260000000000005</v>
      </c>
      <c r="BM143" s="5">
        <v>198.77</v>
      </c>
      <c r="BN143" s="5">
        <v>65.760000000000005</v>
      </c>
      <c r="BO143">
        <f t="shared" si="175"/>
        <v>13.5</v>
      </c>
      <c r="BP143" s="5">
        <v>205.63</v>
      </c>
      <c r="BQ143" s="5">
        <v>52.03</v>
      </c>
      <c r="BR143" s="5">
        <v>209.88</v>
      </c>
      <c r="BS143" s="5">
        <v>56.85</v>
      </c>
      <c r="BT143" s="5">
        <v>206.13</v>
      </c>
      <c r="BU143" s="5">
        <v>58.9</v>
      </c>
      <c r="BV143" s="5">
        <v>205.04</v>
      </c>
      <c r="BW143" s="5">
        <v>62.21</v>
      </c>
      <c r="BX143" s="5">
        <v>201.49</v>
      </c>
      <c r="BY143" s="5">
        <v>65.75</v>
      </c>
      <c r="BZ143">
        <f t="shared" si="176"/>
        <v>13.5</v>
      </c>
      <c r="CA143" s="5">
        <v>214.81</v>
      </c>
      <c r="CB143" s="5">
        <v>55.85</v>
      </c>
      <c r="CC143" s="5">
        <v>210.72</v>
      </c>
      <c r="CD143" s="5">
        <v>58.23</v>
      </c>
      <c r="CE143" s="5">
        <v>214.83</v>
      </c>
      <c r="CF143" s="5">
        <v>62.43</v>
      </c>
      <c r="CG143" s="5">
        <v>205.33</v>
      </c>
      <c r="CH143" s="5">
        <v>62.64</v>
      </c>
      <c r="CI143" s="5">
        <v>205.48</v>
      </c>
      <c r="CJ143" s="5">
        <v>66.930000000000007</v>
      </c>
      <c r="CM143" s="13" t="s">
        <v>174</v>
      </c>
      <c r="CN143" s="20">
        <v>43.22972</v>
      </c>
      <c r="CO143" s="20">
        <v>-71.5839</v>
      </c>
      <c r="CP143" s="19">
        <v>0.30399999999999994</v>
      </c>
      <c r="CQ143" s="19">
        <v>0.378</v>
      </c>
      <c r="CR143" s="19">
        <v>0.35400000000000004</v>
      </c>
      <c r="CS143" s="19">
        <v>0.36599999999999999</v>
      </c>
      <c r="CT143" s="98">
        <v>274.81666666666666</v>
      </c>
      <c r="CU143" s="98">
        <v>293.70555555555558</v>
      </c>
      <c r="CV143" s="98">
        <v>300.37222222222226</v>
      </c>
      <c r="CW143" s="98">
        <v>282.03888888888889</v>
      </c>
      <c r="CX143" s="104">
        <v>5</v>
      </c>
      <c r="CY143" s="104">
        <v>6</v>
      </c>
      <c r="CZ143" s="104">
        <v>7</v>
      </c>
      <c r="DA143" s="104">
        <v>8</v>
      </c>
      <c r="DB143" s="104">
        <v>2</v>
      </c>
    </row>
    <row r="144" spans="7:153">
      <c r="H144" t="s">
        <v>282</v>
      </c>
      <c r="I144" s="100">
        <v>18.5</v>
      </c>
      <c r="J144" s="5">
        <f t="shared" ca="1" si="161"/>
        <v>0</v>
      </c>
      <c r="K144" s="5">
        <f t="shared" ca="1" si="162"/>
        <v>3.8049999999999997</v>
      </c>
      <c r="L144" s="5">
        <f t="shared" ca="1" si="163"/>
        <v>4.6413333333333338</v>
      </c>
      <c r="M144" s="5">
        <f t="shared" ca="1" si="164"/>
        <v>0</v>
      </c>
      <c r="O144" s="100">
        <v>18.5</v>
      </c>
      <c r="P144" s="5">
        <f t="shared" ca="1" si="165"/>
        <v>0</v>
      </c>
      <c r="Q144" s="5">
        <f t="shared" ca="1" si="166"/>
        <v>29.434885155202132</v>
      </c>
      <c r="R144" s="5">
        <f t="shared" ca="1" si="167"/>
        <v>33.141076727964311</v>
      </c>
      <c r="S144" s="5">
        <f t="shared" ca="1" si="168"/>
        <v>0</v>
      </c>
      <c r="U144" s="100">
        <v>18.5</v>
      </c>
      <c r="V144" s="5">
        <f t="shared" ca="1" si="169"/>
        <v>0</v>
      </c>
      <c r="W144" s="5">
        <f t="shared" ca="1" si="170"/>
        <v>0.36594368331999999</v>
      </c>
      <c r="X144" s="5">
        <f t="shared" ca="1" si="171"/>
        <v>0.46197477915733343</v>
      </c>
      <c r="Y144" s="5">
        <f t="shared" ca="1" si="172"/>
        <v>0</v>
      </c>
      <c r="AO144" s="5">
        <f t="shared" si="173"/>
        <v>14.5</v>
      </c>
      <c r="AP144" s="5">
        <v>224.55</v>
      </c>
      <c r="AQ144" s="5">
        <v>54.53</v>
      </c>
      <c r="AR144" s="5">
        <v>221.09</v>
      </c>
      <c r="AS144" s="5">
        <v>57.02</v>
      </c>
      <c r="AT144" s="5">
        <v>219.97</v>
      </c>
      <c r="AU144" s="5">
        <v>61.16</v>
      </c>
      <c r="AV144" s="5">
        <v>216.42</v>
      </c>
      <c r="AW144" s="5">
        <v>63.88</v>
      </c>
      <c r="AX144" s="5">
        <v>219.44</v>
      </c>
      <c r="AY144" s="5">
        <v>68.03</v>
      </c>
      <c r="AZ144" s="5">
        <v>226.76</v>
      </c>
      <c r="BA144" s="5">
        <v>72.89</v>
      </c>
      <c r="BB144">
        <f t="shared" si="174"/>
        <v>14.5</v>
      </c>
      <c r="BC144" s="5">
        <v>222.32</v>
      </c>
      <c r="BD144" s="5">
        <v>53.23</v>
      </c>
      <c r="BE144" s="5">
        <v>227.02</v>
      </c>
      <c r="BF144" s="5">
        <v>60.77</v>
      </c>
      <c r="BG144" s="5">
        <v>219.55</v>
      </c>
      <c r="BH144" s="5">
        <v>61.82</v>
      </c>
      <c r="BI144" s="5">
        <v>217.39</v>
      </c>
      <c r="BJ144" s="5">
        <v>65.150000000000006</v>
      </c>
      <c r="BK144" s="5">
        <v>219.46</v>
      </c>
      <c r="BL144" s="5">
        <v>69.91</v>
      </c>
      <c r="BM144" s="5">
        <v>213.61</v>
      </c>
      <c r="BN144" s="5">
        <v>70.08</v>
      </c>
      <c r="BO144">
        <f t="shared" si="175"/>
        <v>14.5</v>
      </c>
      <c r="BP144" s="5">
        <v>221</v>
      </c>
      <c r="BQ144" s="5">
        <v>59</v>
      </c>
      <c r="BR144" s="5">
        <v>224.17</v>
      </c>
      <c r="BS144" s="5">
        <v>64.209999999999994</v>
      </c>
      <c r="BT144" s="5">
        <v>220.77</v>
      </c>
      <c r="BU144" s="5">
        <v>65.319999999999993</v>
      </c>
      <c r="BV144" s="5">
        <v>219.57</v>
      </c>
      <c r="BW144" s="5">
        <v>68.09</v>
      </c>
      <c r="BX144" s="5">
        <v>216.12</v>
      </c>
      <c r="BY144" s="5">
        <v>70.64</v>
      </c>
      <c r="BZ144">
        <f t="shared" si="176"/>
        <v>14.5</v>
      </c>
      <c r="CA144" s="5">
        <v>228.36</v>
      </c>
      <c r="CB144" s="5">
        <v>64.31</v>
      </c>
      <c r="CC144" s="5">
        <v>224.8</v>
      </c>
      <c r="CD144" s="5">
        <v>65.790000000000006</v>
      </c>
      <c r="CE144" s="5">
        <v>228.17</v>
      </c>
      <c r="CF144" s="5">
        <v>70.150000000000006</v>
      </c>
      <c r="CG144" s="5">
        <v>219.81</v>
      </c>
      <c r="CH144" s="5">
        <v>68.59</v>
      </c>
      <c r="CI144" s="5">
        <v>219.74</v>
      </c>
      <c r="CJ144" s="5">
        <v>72.38</v>
      </c>
      <c r="CM144" s="13" t="s">
        <v>175</v>
      </c>
      <c r="CN144" s="20">
        <v>44.270519999999998</v>
      </c>
      <c r="CO144" s="20">
        <v>-71.303190000000001</v>
      </c>
      <c r="CP144" s="19">
        <v>0.504</v>
      </c>
      <c r="CQ144" s="19">
        <v>0.58100000000000007</v>
      </c>
      <c r="CR144" s="19">
        <v>0.59200000000000008</v>
      </c>
      <c r="CS144" s="19">
        <v>0.52800000000000002</v>
      </c>
      <c r="CT144" s="98">
        <v>263.70555555555558</v>
      </c>
      <c r="CU144" s="98">
        <v>278.14999999999998</v>
      </c>
      <c r="CV144" s="98">
        <v>284.81666666666672</v>
      </c>
      <c r="CW144" s="98">
        <v>270.92777777777781</v>
      </c>
      <c r="CX144" s="104">
        <v>5</v>
      </c>
      <c r="CY144" s="104">
        <v>6</v>
      </c>
      <c r="CZ144" s="104">
        <v>7</v>
      </c>
      <c r="DA144" s="104">
        <v>8</v>
      </c>
      <c r="DB144" s="104">
        <v>2</v>
      </c>
    </row>
    <row r="145" spans="8:106">
      <c r="H145" t="s">
        <v>283</v>
      </c>
      <c r="I145" s="100">
        <v>19.5</v>
      </c>
      <c r="J145" s="5">
        <f t="shared" ca="1" si="161"/>
        <v>0</v>
      </c>
      <c r="K145" s="5">
        <f t="shared" ca="1" si="162"/>
        <v>0</v>
      </c>
      <c r="L145" s="5">
        <f t="shared" ca="1" si="163"/>
        <v>0</v>
      </c>
      <c r="M145" s="5">
        <f t="shared" ca="1" si="164"/>
        <v>0</v>
      </c>
      <c r="O145" s="100">
        <v>19.5</v>
      </c>
      <c r="P145" s="5">
        <f t="shared" ca="1" si="165"/>
        <v>0</v>
      </c>
      <c r="Q145" s="5">
        <f t="shared" ca="1" si="166"/>
        <v>0</v>
      </c>
      <c r="R145" s="5">
        <f t="shared" ca="1" si="167"/>
        <v>0</v>
      </c>
      <c r="S145" s="5">
        <f t="shared" ca="1" si="168"/>
        <v>0</v>
      </c>
      <c r="U145" s="100">
        <v>19.5</v>
      </c>
      <c r="V145" s="5">
        <f t="shared" ca="1" si="169"/>
        <v>0</v>
      </c>
      <c r="W145" s="5">
        <f t="shared" ca="1" si="170"/>
        <v>0</v>
      </c>
      <c r="X145" s="5">
        <f t="shared" ca="1" si="171"/>
        <v>0</v>
      </c>
      <c r="Y145" s="5">
        <f t="shared" ca="1" si="172"/>
        <v>0</v>
      </c>
      <c r="AO145" s="5">
        <f t="shared" si="173"/>
        <v>15.5</v>
      </c>
      <c r="AP145" s="5">
        <v>236.14</v>
      </c>
      <c r="AQ145" s="5">
        <v>64.98</v>
      </c>
      <c r="AR145" s="5">
        <v>233.42</v>
      </c>
      <c r="AS145" s="5">
        <v>66.52</v>
      </c>
      <c r="AT145" s="5">
        <v>232.5</v>
      </c>
      <c r="AU145" s="5">
        <v>70.040000000000006</v>
      </c>
      <c r="AV145" s="5">
        <v>229.53</v>
      </c>
      <c r="AW145" s="5">
        <v>71.709999999999994</v>
      </c>
      <c r="AX145" s="5">
        <v>232.17</v>
      </c>
      <c r="AY145" s="5">
        <v>75.84</v>
      </c>
      <c r="AZ145" s="5">
        <v>238.63</v>
      </c>
      <c r="BA145" s="5">
        <v>81.52</v>
      </c>
      <c r="BB145">
        <f t="shared" si="174"/>
        <v>15.5</v>
      </c>
      <c r="BC145" s="5">
        <v>234.46</v>
      </c>
      <c r="BD145" s="5">
        <v>61.66</v>
      </c>
      <c r="BE145" s="5">
        <v>238.09</v>
      </c>
      <c r="BF145" s="5">
        <v>71.099999999999994</v>
      </c>
      <c r="BG145" s="5">
        <v>232.16</v>
      </c>
      <c r="BH145" s="5">
        <v>70.540000000000006</v>
      </c>
      <c r="BI145" s="5">
        <v>230.35</v>
      </c>
      <c r="BJ145" s="5">
        <v>73</v>
      </c>
      <c r="BK145" s="5">
        <v>232.25</v>
      </c>
      <c r="BL145" s="5">
        <v>77.569999999999993</v>
      </c>
      <c r="BM145" s="5">
        <v>227.07</v>
      </c>
      <c r="BN145" s="5">
        <v>76.66</v>
      </c>
      <c r="BO145">
        <f t="shared" si="175"/>
        <v>15.5</v>
      </c>
      <c r="BP145" s="5">
        <v>233.34</v>
      </c>
      <c r="BQ145" s="5">
        <v>68.2</v>
      </c>
      <c r="BR145" s="5">
        <v>235.97</v>
      </c>
      <c r="BS145" s="5">
        <v>73.56</v>
      </c>
      <c r="BT145" s="5">
        <v>233.21</v>
      </c>
      <c r="BU145" s="5">
        <v>73.84</v>
      </c>
      <c r="BV145" s="5">
        <v>232.28</v>
      </c>
      <c r="BW145" s="5">
        <v>76.040000000000006</v>
      </c>
      <c r="BX145" s="5">
        <v>229.33</v>
      </c>
      <c r="BY145" s="5">
        <v>77.56</v>
      </c>
      <c r="BZ145">
        <f t="shared" si="176"/>
        <v>15.5</v>
      </c>
      <c r="CA145" s="5">
        <v>239.28</v>
      </c>
      <c r="CB145" s="5">
        <v>74.430000000000007</v>
      </c>
      <c r="CC145" s="5">
        <v>236.53</v>
      </c>
      <c r="CD145" s="5">
        <v>74.83</v>
      </c>
      <c r="CE145" s="5">
        <v>239.54</v>
      </c>
      <c r="CF145" s="5">
        <v>79.56</v>
      </c>
      <c r="CG145" s="5">
        <v>232.49</v>
      </c>
      <c r="CH145" s="5">
        <v>76.489999999999995</v>
      </c>
      <c r="CI145" s="5">
        <v>232.58</v>
      </c>
      <c r="CJ145" s="5">
        <v>79.739999999999995</v>
      </c>
      <c r="CM145" s="13" t="s">
        <v>176</v>
      </c>
      <c r="CN145" s="20">
        <v>39.36083</v>
      </c>
      <c r="CO145" s="20">
        <v>-74.457549999999998</v>
      </c>
      <c r="CP145" s="19">
        <v>0.33599999999999997</v>
      </c>
      <c r="CQ145" s="19">
        <v>0.38499999999999995</v>
      </c>
      <c r="CR145" s="19">
        <v>0.378</v>
      </c>
      <c r="CS145" s="19">
        <v>0.36500000000000005</v>
      </c>
      <c r="CT145" s="98">
        <v>279.81666666666666</v>
      </c>
      <c r="CU145" s="98">
        <v>294.81666666666672</v>
      </c>
      <c r="CV145" s="98">
        <v>302.03888888888895</v>
      </c>
      <c r="CW145" s="98">
        <v>286.48333333333335</v>
      </c>
      <c r="CX145" s="104">
        <v>5</v>
      </c>
      <c r="CY145" s="104">
        <v>6</v>
      </c>
      <c r="CZ145" s="104">
        <v>7</v>
      </c>
      <c r="DA145" s="104">
        <v>8</v>
      </c>
      <c r="DB145" s="104">
        <v>2</v>
      </c>
    </row>
    <row r="146" spans="8:106">
      <c r="H146" t="s">
        <v>284</v>
      </c>
      <c r="I146" s="100">
        <v>20.5</v>
      </c>
      <c r="J146" s="5">
        <f t="shared" ca="1" si="161"/>
        <v>0</v>
      </c>
      <c r="K146" s="5">
        <f t="shared" ca="1" si="162"/>
        <v>0</v>
      </c>
      <c r="L146" s="5">
        <f t="shared" ca="1" si="163"/>
        <v>0</v>
      </c>
      <c r="M146" s="5">
        <f t="shared" ca="1" si="164"/>
        <v>0</v>
      </c>
      <c r="O146" s="100">
        <v>20.5</v>
      </c>
      <c r="P146" s="5">
        <f t="shared" ca="1" si="165"/>
        <v>0</v>
      </c>
      <c r="Q146" s="5">
        <f t="shared" ca="1" si="166"/>
        <v>0</v>
      </c>
      <c r="R146" s="5">
        <f t="shared" ca="1" si="167"/>
        <v>0</v>
      </c>
      <c r="S146" s="5">
        <f t="shared" ca="1" si="168"/>
        <v>0</v>
      </c>
      <c r="U146" s="100">
        <v>20.5</v>
      </c>
      <c r="V146" s="5">
        <f t="shared" ca="1" si="169"/>
        <v>0</v>
      </c>
      <c r="W146" s="5">
        <f t="shared" ca="1" si="170"/>
        <v>0</v>
      </c>
      <c r="X146" s="5">
        <f t="shared" ca="1" si="171"/>
        <v>0</v>
      </c>
      <c r="Y146" s="5">
        <f t="shared" ca="1" si="172"/>
        <v>0</v>
      </c>
      <c r="AO146" s="5">
        <f t="shared" si="173"/>
        <v>16.5</v>
      </c>
      <c r="AP146" s="5">
        <v>244.99</v>
      </c>
      <c r="AQ146" s="5">
        <v>76.790000000000006</v>
      </c>
      <c r="AR146" s="5">
        <v>243.23</v>
      </c>
      <c r="AS146" s="5">
        <v>77.540000000000006</v>
      </c>
      <c r="AT146" s="5">
        <v>242.9</v>
      </c>
      <c r="AU146" s="5">
        <v>80.45</v>
      </c>
      <c r="AV146" s="5">
        <v>240.78</v>
      </c>
      <c r="AW146" s="5">
        <v>81.17</v>
      </c>
      <c r="AX146" s="5">
        <v>243.37</v>
      </c>
      <c r="AY146" s="5">
        <v>85.26</v>
      </c>
      <c r="AZ146" s="5">
        <v>249.31</v>
      </c>
      <c r="BA146" s="5">
        <v>91.29</v>
      </c>
      <c r="BB146">
        <f t="shared" si="174"/>
        <v>16.5</v>
      </c>
      <c r="BC146" s="5">
        <v>243.7</v>
      </c>
      <c r="BD146" s="5">
        <v>74.959999999999994</v>
      </c>
      <c r="BE146" s="5">
        <v>247.02</v>
      </c>
      <c r="BF146" s="5">
        <v>82.63</v>
      </c>
      <c r="BG146" s="5">
        <v>242.7</v>
      </c>
      <c r="BH146" s="5">
        <v>80.77</v>
      </c>
      <c r="BI146" s="5">
        <v>241.57</v>
      </c>
      <c r="BJ146" s="5">
        <v>82.45</v>
      </c>
      <c r="BK146" s="5">
        <v>243.66</v>
      </c>
      <c r="BL146" s="5">
        <v>86.57</v>
      </c>
      <c r="BM146" s="5">
        <v>239.24</v>
      </c>
      <c r="BN146" s="5">
        <v>84.71</v>
      </c>
      <c r="BO146">
        <f t="shared" si="175"/>
        <v>16.5</v>
      </c>
      <c r="BP146" s="5">
        <v>243.32</v>
      </c>
      <c r="BQ146" s="5">
        <v>78.53</v>
      </c>
      <c r="BR146" s="5">
        <v>245.91</v>
      </c>
      <c r="BS146" s="5">
        <v>84.23</v>
      </c>
      <c r="BT146" s="5">
        <v>243.9</v>
      </c>
      <c r="BU146" s="5">
        <v>83.82</v>
      </c>
      <c r="BV146" s="5">
        <v>243.46</v>
      </c>
      <c r="BW146" s="5">
        <v>85.32</v>
      </c>
      <c r="BX146" s="5">
        <v>241.25</v>
      </c>
      <c r="BY146" s="5">
        <v>85.88</v>
      </c>
      <c r="BZ146">
        <f t="shared" si="176"/>
        <v>16.5</v>
      </c>
      <c r="CA146" s="5">
        <v>248.62</v>
      </c>
      <c r="CB146" s="5">
        <v>85.82</v>
      </c>
      <c r="CC146" s="5">
        <v>246.76</v>
      </c>
      <c r="CD146" s="5">
        <v>85.32</v>
      </c>
      <c r="CE146" s="5">
        <v>249.75</v>
      </c>
      <c r="CF146" s="5">
        <v>89.85</v>
      </c>
      <c r="CG146" s="5">
        <v>243.9</v>
      </c>
      <c r="CH146" s="5">
        <v>85.59</v>
      </c>
      <c r="CI146" s="5">
        <v>244.43</v>
      </c>
      <c r="CJ146" s="5">
        <v>88.1</v>
      </c>
      <c r="CM146" s="13" t="s">
        <v>177</v>
      </c>
      <c r="CN146" s="20">
        <v>40.218559999999997</v>
      </c>
      <c r="CO146" s="20">
        <v>-74.762450000000001</v>
      </c>
      <c r="CP146" s="19">
        <v>0.34299999999999997</v>
      </c>
      <c r="CQ146" s="19">
        <v>0.40100000000000002</v>
      </c>
      <c r="CR146" s="19">
        <v>0.37899999999999995</v>
      </c>
      <c r="CS146" s="19">
        <v>0.33899999999999997</v>
      </c>
      <c r="CT146" s="98">
        <v>279.81666666666666</v>
      </c>
      <c r="CU146" s="98">
        <v>296.48333333333335</v>
      </c>
      <c r="CV146" s="98">
        <v>302.59444444444449</v>
      </c>
      <c r="CW146" s="98">
        <v>286.48333333333335</v>
      </c>
      <c r="CX146" s="104">
        <v>5</v>
      </c>
      <c r="CY146" s="104">
        <v>6</v>
      </c>
      <c r="CZ146" s="104">
        <v>7</v>
      </c>
      <c r="DA146" s="104">
        <v>8</v>
      </c>
      <c r="DB146" s="104">
        <v>2</v>
      </c>
    </row>
    <row r="147" spans="8:106">
      <c r="H147" t="s">
        <v>285</v>
      </c>
      <c r="I147" s="100">
        <v>21.5</v>
      </c>
      <c r="J147" s="5">
        <f t="shared" ca="1" si="161"/>
        <v>0</v>
      </c>
      <c r="K147" s="5">
        <f t="shared" ca="1" si="162"/>
        <v>0</v>
      </c>
      <c r="L147" s="5">
        <f t="shared" ca="1" si="163"/>
        <v>0</v>
      </c>
      <c r="M147" s="5">
        <f t="shared" ca="1" si="164"/>
        <v>0</v>
      </c>
      <c r="O147" s="100">
        <v>21.5</v>
      </c>
      <c r="P147" s="5">
        <f t="shared" ca="1" si="165"/>
        <v>0</v>
      </c>
      <c r="Q147" s="5">
        <f t="shared" ca="1" si="166"/>
        <v>0</v>
      </c>
      <c r="R147" s="5">
        <f t="shared" ca="1" si="167"/>
        <v>0</v>
      </c>
      <c r="S147" s="5">
        <f t="shared" ca="1" si="168"/>
        <v>0</v>
      </c>
      <c r="U147" s="100">
        <v>21.5</v>
      </c>
      <c r="V147" s="5">
        <f t="shared" ca="1" si="169"/>
        <v>0</v>
      </c>
      <c r="W147" s="5">
        <f t="shared" ca="1" si="170"/>
        <v>0</v>
      </c>
      <c r="X147" s="5">
        <f t="shared" ca="1" si="171"/>
        <v>0</v>
      </c>
      <c r="Y147" s="5">
        <f t="shared" ca="1" si="172"/>
        <v>0</v>
      </c>
      <c r="AO147" s="5">
        <f t="shared" si="173"/>
        <v>17.5</v>
      </c>
      <c r="AP147" s="5">
        <v>252.14</v>
      </c>
      <c r="AQ147" s="5">
        <v>89.34</v>
      </c>
      <c r="AR147" s="5">
        <v>251.4</v>
      </c>
      <c r="AS147" s="5">
        <v>89.51</v>
      </c>
      <c r="AT147" s="5">
        <v>251.89</v>
      </c>
      <c r="AU147" s="5">
        <v>91.63</v>
      </c>
      <c r="AV147" s="5">
        <v>250.74</v>
      </c>
      <c r="AW147" s="5">
        <v>91.63</v>
      </c>
      <c r="AX147" s="5">
        <v>253.58</v>
      </c>
      <c r="AY147" s="5">
        <v>95.46</v>
      </c>
      <c r="AZ147" s="5">
        <v>259.36</v>
      </c>
      <c r="BA147" s="5">
        <v>101.74</v>
      </c>
      <c r="BB147">
        <f t="shared" si="174"/>
        <v>17.5</v>
      </c>
      <c r="BC147" s="5">
        <v>251.1</v>
      </c>
      <c r="BD147" s="5">
        <v>87.41</v>
      </c>
      <c r="BE147" s="5">
        <v>254.64</v>
      </c>
      <c r="BF147" s="5">
        <v>94.92</v>
      </c>
      <c r="BG147" s="5">
        <v>251.86</v>
      </c>
      <c r="BH147" s="5">
        <v>91.99</v>
      </c>
      <c r="BI147" s="5">
        <v>251.58</v>
      </c>
      <c r="BJ147" s="5">
        <v>92.84</v>
      </c>
      <c r="BK147" s="5">
        <v>254.18</v>
      </c>
      <c r="BL147" s="5">
        <v>96.46</v>
      </c>
      <c r="BM147" s="5">
        <v>250.49</v>
      </c>
      <c r="BN147" s="5">
        <v>93.76</v>
      </c>
      <c r="BO147">
        <f t="shared" si="175"/>
        <v>17.5</v>
      </c>
      <c r="BP147" s="5">
        <v>252.03</v>
      </c>
      <c r="BQ147" s="5">
        <v>90.61</v>
      </c>
      <c r="BR147" s="5">
        <v>254.93</v>
      </c>
      <c r="BS147" s="5">
        <v>95.55</v>
      </c>
      <c r="BT147" s="5">
        <v>253.67</v>
      </c>
      <c r="BU147" s="5">
        <v>94.44</v>
      </c>
      <c r="BV147" s="5">
        <v>253.88</v>
      </c>
      <c r="BW147" s="5">
        <v>95.39</v>
      </c>
      <c r="BX147" s="5">
        <v>252.5</v>
      </c>
      <c r="BY147" s="5">
        <v>94.99</v>
      </c>
      <c r="BZ147">
        <f t="shared" si="176"/>
        <v>17.5</v>
      </c>
      <c r="CA147" s="5">
        <v>256.63</v>
      </c>
      <c r="CB147" s="5">
        <v>97.85</v>
      </c>
      <c r="CC147" s="5">
        <v>255.68</v>
      </c>
      <c r="CD147" s="5">
        <v>96.71</v>
      </c>
      <c r="CE147" s="5">
        <v>258.95999999999998</v>
      </c>
      <c r="CF147" s="5">
        <v>100.97</v>
      </c>
      <c r="CG147" s="5">
        <v>254.15</v>
      </c>
      <c r="CH147" s="5">
        <v>95.7</v>
      </c>
      <c r="CI147" s="5">
        <v>255.35</v>
      </c>
      <c r="CJ147" s="5">
        <v>97.63</v>
      </c>
      <c r="CM147" s="13" t="s">
        <v>178</v>
      </c>
      <c r="CN147" s="20">
        <v>35.090409999999999</v>
      </c>
      <c r="CO147" s="20">
        <v>-106.6746</v>
      </c>
      <c r="CP147" s="19">
        <v>0.14399999999999996</v>
      </c>
      <c r="CQ147" s="19">
        <v>0.21400000000000002</v>
      </c>
      <c r="CR147" s="19">
        <v>0.307</v>
      </c>
      <c r="CS147" s="19">
        <v>0.11599999999999999</v>
      </c>
      <c r="CT147" s="98">
        <v>284.81666666666672</v>
      </c>
      <c r="CU147" s="98">
        <v>299.26111111111112</v>
      </c>
      <c r="CV147" s="98">
        <v>303.70555555555558</v>
      </c>
      <c r="CW147" s="98">
        <v>286.48333333333335</v>
      </c>
      <c r="CX147" s="104">
        <v>1</v>
      </c>
      <c r="CY147" s="104">
        <v>2</v>
      </c>
      <c r="CZ147" s="104">
        <v>3</v>
      </c>
      <c r="DA147" s="104">
        <v>4</v>
      </c>
      <c r="DB147" s="104">
        <v>1</v>
      </c>
    </row>
    <row r="148" spans="8:106">
      <c r="H148" t="s">
        <v>286</v>
      </c>
      <c r="I148" s="100">
        <v>22.5</v>
      </c>
      <c r="J148" s="5">
        <f t="shared" ca="1" si="161"/>
        <v>0</v>
      </c>
      <c r="K148" s="5">
        <f t="shared" ca="1" si="162"/>
        <v>0</v>
      </c>
      <c r="L148" s="5">
        <f t="shared" ca="1" si="163"/>
        <v>0</v>
      </c>
      <c r="M148" s="5">
        <f t="shared" ca="1" si="164"/>
        <v>0</v>
      </c>
      <c r="O148" s="100">
        <v>22.5</v>
      </c>
      <c r="P148" s="5">
        <f t="shared" ca="1" si="165"/>
        <v>0</v>
      </c>
      <c r="Q148" s="5">
        <f t="shared" ca="1" si="166"/>
        <v>0</v>
      </c>
      <c r="R148" s="5">
        <f t="shared" ca="1" si="167"/>
        <v>0</v>
      </c>
      <c r="S148" s="5">
        <f t="shared" ca="1" si="168"/>
        <v>0</v>
      </c>
      <c r="U148" s="100">
        <v>22.5</v>
      </c>
      <c r="V148" s="5">
        <f t="shared" ca="1" si="169"/>
        <v>0</v>
      </c>
      <c r="W148" s="5">
        <f t="shared" ca="1" si="170"/>
        <v>0</v>
      </c>
      <c r="X148" s="5">
        <f t="shared" ca="1" si="171"/>
        <v>0</v>
      </c>
      <c r="Y148" s="5">
        <f t="shared" ca="1" si="172"/>
        <v>0</v>
      </c>
      <c r="AO148" s="5">
        <f t="shared" si="173"/>
        <v>18.5</v>
      </c>
      <c r="AP148" s="5">
        <v>258.32</v>
      </c>
      <c r="AQ148" s="5">
        <v>102.37</v>
      </c>
      <c r="AR148" s="5">
        <v>258.66000000000003</v>
      </c>
      <c r="AS148" s="5">
        <v>102.03</v>
      </c>
      <c r="AT148" s="5">
        <v>260.16000000000003</v>
      </c>
      <c r="AU148" s="5">
        <v>103.62</v>
      </c>
      <c r="AV148" s="5">
        <v>260.02999999999997</v>
      </c>
      <c r="AW148" s="5">
        <v>102.77</v>
      </c>
      <c r="AX148" s="5">
        <v>263.39</v>
      </c>
      <c r="AY148" s="5">
        <v>106.3</v>
      </c>
      <c r="AZ148" s="5">
        <v>269.41000000000003</v>
      </c>
      <c r="BA148" s="5">
        <v>112.52</v>
      </c>
      <c r="BB148">
        <f t="shared" si="174"/>
        <v>18.5</v>
      </c>
      <c r="BC148" s="5">
        <v>257.72000000000003</v>
      </c>
      <c r="BD148" s="5">
        <v>100.36</v>
      </c>
      <c r="BE148" s="5">
        <v>261.92</v>
      </c>
      <c r="BF148" s="5">
        <v>107.29</v>
      </c>
      <c r="BG148" s="5">
        <v>260.58999999999997</v>
      </c>
      <c r="BH148" s="5">
        <v>103.56</v>
      </c>
      <c r="BI148" s="5">
        <v>261.26</v>
      </c>
      <c r="BJ148" s="5">
        <v>103.69</v>
      </c>
      <c r="BK148" s="5">
        <v>264.63</v>
      </c>
      <c r="BL148" s="5">
        <v>106.69</v>
      </c>
      <c r="BM148" s="5">
        <v>261.52</v>
      </c>
      <c r="BN148" s="5">
        <v>103.24</v>
      </c>
      <c r="BO148">
        <f t="shared" si="175"/>
        <v>18.5</v>
      </c>
      <c r="BP148" s="5">
        <v>259.68</v>
      </c>
      <c r="BQ148" s="5">
        <v>102.9</v>
      </c>
      <c r="BR148" s="5">
        <v>263.23</v>
      </c>
      <c r="BS148" s="5">
        <v>107.51</v>
      </c>
      <c r="BT148" s="5">
        <v>262.73</v>
      </c>
      <c r="BU148" s="5">
        <v>105.85</v>
      </c>
      <c r="BV148" s="5">
        <v>263.69</v>
      </c>
      <c r="BW148" s="5">
        <v>106.15</v>
      </c>
      <c r="BX148" s="5">
        <v>263.20999999999998</v>
      </c>
      <c r="BY148" s="5">
        <v>104.88</v>
      </c>
      <c r="BZ148">
        <f t="shared" si="176"/>
        <v>18.5</v>
      </c>
      <c r="CA148" s="5">
        <v>264.23</v>
      </c>
      <c r="CB148" s="5">
        <v>110.3</v>
      </c>
      <c r="CC148" s="5">
        <v>264.2</v>
      </c>
      <c r="CD148" s="5">
        <v>109.9</v>
      </c>
      <c r="CE148" s="5">
        <v>268.07</v>
      </c>
      <c r="CF148" s="5">
        <v>112.58</v>
      </c>
      <c r="CG148" s="5">
        <v>264.04000000000002</v>
      </c>
      <c r="CH148" s="5">
        <v>106.52</v>
      </c>
      <c r="CI148" s="5">
        <v>266.08</v>
      </c>
      <c r="CJ148" s="5">
        <v>107.57</v>
      </c>
      <c r="CM148" s="13" t="s">
        <v>179</v>
      </c>
      <c r="CN148" s="20">
        <v>33.392470000000003</v>
      </c>
      <c r="CO148" s="20">
        <v>-104.51322999999999</v>
      </c>
      <c r="CP148" s="19">
        <v>0.10599999999999998</v>
      </c>
      <c r="CQ148" s="19">
        <v>0.193</v>
      </c>
      <c r="CR148" s="19">
        <v>0.28000000000000003</v>
      </c>
      <c r="CS148" s="19">
        <v>0.10999999999999999</v>
      </c>
      <c r="CT148" s="98">
        <v>289.26111111111112</v>
      </c>
      <c r="CU148" s="98">
        <v>302.59444444444449</v>
      </c>
      <c r="CV148" s="98">
        <v>306.48333333333335</v>
      </c>
      <c r="CW148" s="98">
        <v>290.92777777777781</v>
      </c>
      <c r="CX148" s="104">
        <v>1</v>
      </c>
      <c r="CY148" s="104">
        <v>2</v>
      </c>
      <c r="CZ148" s="104">
        <v>3</v>
      </c>
      <c r="DA148" s="104">
        <v>4</v>
      </c>
      <c r="DB148" s="104">
        <v>1</v>
      </c>
    </row>
    <row r="149" spans="8:106">
      <c r="H149" t="s">
        <v>287</v>
      </c>
      <c r="I149" s="100">
        <v>23.5</v>
      </c>
      <c r="J149" s="5">
        <f t="shared" ca="1" si="161"/>
        <v>0</v>
      </c>
      <c r="K149" s="5">
        <f t="shared" ca="1" si="162"/>
        <v>0</v>
      </c>
      <c r="L149" s="5">
        <f t="shared" ca="1" si="163"/>
        <v>0</v>
      </c>
      <c r="M149" s="5">
        <f t="shared" ca="1" si="164"/>
        <v>0</v>
      </c>
      <c r="O149" s="100">
        <v>23.5</v>
      </c>
      <c r="P149" s="5">
        <f t="shared" ca="1" si="165"/>
        <v>0</v>
      </c>
      <c r="Q149" s="5">
        <f t="shared" ca="1" si="166"/>
        <v>0</v>
      </c>
      <c r="R149" s="5">
        <f t="shared" ca="1" si="167"/>
        <v>0</v>
      </c>
      <c r="S149" s="5">
        <f t="shared" ca="1" si="168"/>
        <v>0</v>
      </c>
      <c r="U149" s="100">
        <v>23.5</v>
      </c>
      <c r="V149" s="5">
        <f t="shared" ca="1" si="169"/>
        <v>0</v>
      </c>
      <c r="W149" s="5">
        <f t="shared" ca="1" si="170"/>
        <v>0</v>
      </c>
      <c r="X149" s="5">
        <f t="shared" ca="1" si="171"/>
        <v>0</v>
      </c>
      <c r="Y149" s="5">
        <f t="shared" ca="1" si="172"/>
        <v>0</v>
      </c>
      <c r="AO149" s="5">
        <f t="shared" si="173"/>
        <v>19.5</v>
      </c>
      <c r="AP149" s="5">
        <v>264.47000000000003</v>
      </c>
      <c r="AQ149" s="5">
        <v>115.63</v>
      </c>
      <c r="AR149" s="5">
        <v>265.98</v>
      </c>
      <c r="AS149" s="5">
        <v>114.73</v>
      </c>
      <c r="AT149" s="5">
        <v>268.68</v>
      </c>
      <c r="AU149" s="5">
        <v>115.61</v>
      </c>
      <c r="AV149" s="5">
        <v>269.61</v>
      </c>
      <c r="AW149" s="5">
        <v>114.08</v>
      </c>
      <c r="AX149" s="5">
        <v>273.76</v>
      </c>
      <c r="AY149" s="5">
        <v>117.03</v>
      </c>
      <c r="AZ149" s="5">
        <v>280.54000000000002</v>
      </c>
      <c r="BA149" s="5">
        <v>123.11</v>
      </c>
      <c r="BB149">
        <f t="shared" si="174"/>
        <v>19.5</v>
      </c>
      <c r="BC149" s="5">
        <v>263.64999999999998</v>
      </c>
      <c r="BD149" s="5">
        <v>113.6</v>
      </c>
      <c r="BE149" s="5">
        <v>268.99</v>
      </c>
      <c r="BF149" s="5">
        <v>120.44</v>
      </c>
      <c r="BG149" s="5">
        <v>269.07</v>
      </c>
      <c r="BH149" s="5">
        <v>115.64</v>
      </c>
      <c r="BI149" s="5">
        <v>270.81</v>
      </c>
      <c r="BJ149" s="5">
        <v>115.01</v>
      </c>
      <c r="BK149" s="5">
        <v>275.25</v>
      </c>
      <c r="BL149" s="5">
        <v>117.31</v>
      </c>
      <c r="BM149" s="5">
        <v>272.54000000000002</v>
      </c>
      <c r="BN149" s="5">
        <v>113.26</v>
      </c>
      <c r="BO149">
        <f t="shared" si="175"/>
        <v>19.5</v>
      </c>
      <c r="BP149" s="5">
        <v>267.19</v>
      </c>
      <c r="BQ149" s="5">
        <v>115.51</v>
      </c>
      <c r="BR149" s="5">
        <v>271.77</v>
      </c>
      <c r="BS149" s="5">
        <v>119.66</v>
      </c>
      <c r="BT149" s="5">
        <v>271.99</v>
      </c>
      <c r="BU149" s="5">
        <v>117.47</v>
      </c>
      <c r="BV149" s="5">
        <v>273.81</v>
      </c>
      <c r="BW149" s="5">
        <v>117.14</v>
      </c>
      <c r="BX149" s="5">
        <v>274.2</v>
      </c>
      <c r="BY149" s="5">
        <v>115.01</v>
      </c>
      <c r="BZ149">
        <f t="shared" si="176"/>
        <v>19.5</v>
      </c>
      <c r="CA149" s="5">
        <v>272.16000000000003</v>
      </c>
      <c r="CB149" s="5">
        <v>122.87</v>
      </c>
      <c r="CC149" s="5">
        <v>273.06</v>
      </c>
      <c r="CD149" s="5">
        <v>120.55</v>
      </c>
      <c r="CE149" s="5">
        <v>277.91000000000003</v>
      </c>
      <c r="CF149" s="5">
        <v>124.16</v>
      </c>
      <c r="CG149" s="5">
        <v>274.26</v>
      </c>
      <c r="CH149" s="5">
        <v>117.42</v>
      </c>
      <c r="CI149" s="5">
        <v>277.3</v>
      </c>
      <c r="CJ149" s="5">
        <v>117.73</v>
      </c>
      <c r="CM149" s="17" t="s">
        <v>180</v>
      </c>
      <c r="CN149" s="20">
        <v>39.267319999999998</v>
      </c>
      <c r="CO149" s="20">
        <v>-114.85995</v>
      </c>
      <c r="CP149" s="19">
        <v>0.30499999999999999</v>
      </c>
      <c r="CQ149" s="19">
        <v>0.35800000000000004</v>
      </c>
      <c r="CR149" s="19">
        <v>0.26</v>
      </c>
      <c r="CS149" s="19">
        <v>0.27</v>
      </c>
      <c r="CT149" s="98">
        <v>278.70555555555558</v>
      </c>
      <c r="CU149" s="98">
        <v>293.15000000000003</v>
      </c>
      <c r="CV149" s="98">
        <v>302.59444444444449</v>
      </c>
      <c r="CW149" s="98">
        <v>282.59444444444443</v>
      </c>
      <c r="CX149" s="104">
        <v>1</v>
      </c>
      <c r="CY149" s="104">
        <v>2</v>
      </c>
      <c r="CZ149" s="104">
        <v>3</v>
      </c>
      <c r="DA149" s="104">
        <v>4</v>
      </c>
      <c r="DB149" s="104">
        <v>1</v>
      </c>
    </row>
    <row r="150" spans="8:106">
      <c r="AO150" s="5">
        <f t="shared" si="173"/>
        <v>20.5</v>
      </c>
      <c r="AP150" s="5">
        <v>270.64</v>
      </c>
      <c r="AQ150" s="5">
        <v>129.15</v>
      </c>
      <c r="AR150" s="5">
        <v>273.54000000000002</v>
      </c>
      <c r="AS150" s="5">
        <v>127.65</v>
      </c>
      <c r="AT150" s="5">
        <v>277.77</v>
      </c>
      <c r="AU150" s="5">
        <v>127.88</v>
      </c>
      <c r="AV150" s="5">
        <v>279.81</v>
      </c>
      <c r="AW150" s="5">
        <v>125.52</v>
      </c>
      <c r="AX150" s="5">
        <v>285.14</v>
      </c>
      <c r="AY150" s="5">
        <v>127.87</v>
      </c>
      <c r="AZ150" s="5">
        <v>293.43</v>
      </c>
      <c r="BA150" s="5">
        <v>133.52000000000001</v>
      </c>
      <c r="BB150">
        <f t="shared" si="174"/>
        <v>20.5</v>
      </c>
      <c r="BC150" s="5">
        <v>269.79000000000002</v>
      </c>
      <c r="BD150" s="5">
        <v>127.04</v>
      </c>
      <c r="BE150" s="5">
        <v>277.02</v>
      </c>
      <c r="BF150" s="5">
        <v>133.41</v>
      </c>
      <c r="BG150" s="5">
        <v>278.43</v>
      </c>
      <c r="BH150" s="5">
        <v>127.73</v>
      </c>
      <c r="BI150" s="5">
        <v>281.35000000000002</v>
      </c>
      <c r="BJ150" s="5">
        <v>126.23</v>
      </c>
      <c r="BK150" s="5">
        <v>287.19</v>
      </c>
      <c r="BL150" s="5">
        <v>127.71</v>
      </c>
      <c r="BM150" s="5">
        <v>284.52</v>
      </c>
      <c r="BN150" s="5">
        <v>123.16</v>
      </c>
      <c r="BO150">
        <f t="shared" si="175"/>
        <v>20.5</v>
      </c>
      <c r="BP150" s="5">
        <v>275.39</v>
      </c>
      <c r="BQ150" s="5">
        <v>128.81</v>
      </c>
      <c r="BR150" s="5">
        <v>281.55</v>
      </c>
      <c r="BS150" s="5">
        <v>131.75</v>
      </c>
      <c r="BT150" s="5">
        <v>282.43</v>
      </c>
      <c r="BU150" s="5">
        <v>129.07</v>
      </c>
      <c r="BV150" s="5">
        <v>285.19</v>
      </c>
      <c r="BW150" s="5">
        <v>127.99</v>
      </c>
      <c r="BX150" s="5">
        <v>286.32</v>
      </c>
      <c r="BY150" s="5">
        <v>125</v>
      </c>
      <c r="BZ150">
        <f t="shared" si="176"/>
        <v>20.5</v>
      </c>
      <c r="CA150" s="5">
        <v>281.52</v>
      </c>
      <c r="CB150" s="5">
        <v>135.44999999999999</v>
      </c>
      <c r="CC150" s="5">
        <v>283.33</v>
      </c>
      <c r="CD150" s="5">
        <v>132.5</v>
      </c>
      <c r="CE150" s="5">
        <v>289.74</v>
      </c>
      <c r="CF150" s="5">
        <v>135.44999999999999</v>
      </c>
      <c r="CG150" s="5">
        <v>285.77999999999997</v>
      </c>
      <c r="CH150" s="5">
        <v>128.15</v>
      </c>
      <c r="CI150" s="5">
        <v>289.92</v>
      </c>
      <c r="CJ150" s="5">
        <v>127.49</v>
      </c>
      <c r="CM150" s="13" t="s">
        <v>181</v>
      </c>
      <c r="CN150" s="20">
        <v>36.079389999999997</v>
      </c>
      <c r="CO150" s="20">
        <v>-115.17659</v>
      </c>
      <c r="CP150" s="19">
        <v>0.13800000000000001</v>
      </c>
      <c r="CQ150" s="19">
        <v>0.11699999999999999</v>
      </c>
      <c r="CR150" s="19">
        <v>0.13700000000000001</v>
      </c>
      <c r="CS150" s="19">
        <v>0.10499999999999998</v>
      </c>
      <c r="CT150" s="98">
        <v>289.81666666666672</v>
      </c>
      <c r="CU150" s="98">
        <v>304.81666666666672</v>
      </c>
      <c r="CV150" s="98">
        <v>312.03888888888895</v>
      </c>
      <c r="CW150" s="98">
        <v>292.03888888888895</v>
      </c>
      <c r="CX150" s="104">
        <v>1</v>
      </c>
      <c r="CY150" s="104">
        <v>2</v>
      </c>
      <c r="CZ150" s="104">
        <v>3</v>
      </c>
      <c r="DA150" s="104">
        <v>4</v>
      </c>
      <c r="DB150" s="104">
        <v>1</v>
      </c>
    </row>
    <row r="151" spans="8:106">
      <c r="AO151" s="5">
        <f t="shared" si="173"/>
        <v>21.5</v>
      </c>
      <c r="AP151" s="5">
        <v>274.14999999999998</v>
      </c>
      <c r="AQ151" s="5">
        <v>135.88999999999999</v>
      </c>
      <c r="AR151" s="5">
        <v>277.89</v>
      </c>
      <c r="AS151" s="5">
        <v>134.12</v>
      </c>
      <c r="AT151" s="5">
        <v>283.05</v>
      </c>
      <c r="AU151" s="5">
        <v>133.9</v>
      </c>
      <c r="AV151" s="5">
        <v>285.63</v>
      </c>
      <c r="AW151" s="5">
        <v>131.08000000000001</v>
      </c>
      <c r="AX151" s="5">
        <v>291.72000000000003</v>
      </c>
      <c r="AY151" s="5">
        <v>133.07</v>
      </c>
      <c r="AZ151" s="5">
        <v>301.17</v>
      </c>
      <c r="BA151" s="5">
        <v>138.32</v>
      </c>
      <c r="BB151">
        <f t="shared" si="174"/>
        <v>21.5</v>
      </c>
      <c r="BC151" s="5">
        <v>273.22000000000003</v>
      </c>
      <c r="BD151" s="5">
        <v>133.79</v>
      </c>
      <c r="BE151" s="5">
        <v>281.89999999999998</v>
      </c>
      <c r="BF151" s="5">
        <v>139.80000000000001</v>
      </c>
      <c r="BG151" s="5">
        <v>283.85000000000002</v>
      </c>
      <c r="BH151" s="5">
        <v>133.63</v>
      </c>
      <c r="BI151" s="5">
        <v>287.39</v>
      </c>
      <c r="BJ151" s="5">
        <v>131.80000000000001</v>
      </c>
      <c r="BK151" s="5">
        <v>294.06</v>
      </c>
      <c r="BL151" s="5">
        <v>132.69</v>
      </c>
      <c r="BM151" s="5">
        <v>291.2</v>
      </c>
      <c r="BN151" s="5">
        <v>127.93</v>
      </c>
      <c r="BO151">
        <f t="shared" si="175"/>
        <v>21.5</v>
      </c>
      <c r="BP151" s="5">
        <v>280.14</v>
      </c>
      <c r="BQ151" s="5">
        <v>134.44999999999999</v>
      </c>
      <c r="BR151" s="5">
        <v>287.43</v>
      </c>
      <c r="BS151" s="5">
        <v>137.65</v>
      </c>
      <c r="BT151" s="5">
        <v>288.54000000000002</v>
      </c>
      <c r="BU151" s="5">
        <v>134.62</v>
      </c>
      <c r="BV151" s="5">
        <v>291.77999999999997</v>
      </c>
      <c r="BW151" s="5">
        <v>133.27000000000001</v>
      </c>
      <c r="BX151" s="5">
        <v>293.16000000000003</v>
      </c>
      <c r="BY151" s="5">
        <v>129.76</v>
      </c>
      <c r="BZ151">
        <f t="shared" si="176"/>
        <v>21.5</v>
      </c>
      <c r="CA151" s="5">
        <v>287.35000000000002</v>
      </c>
      <c r="CB151" s="5">
        <v>141.59</v>
      </c>
      <c r="CC151" s="5">
        <v>289.52999999999997</v>
      </c>
      <c r="CD151" s="5">
        <v>138.21</v>
      </c>
      <c r="CE151" s="5">
        <v>297.06</v>
      </c>
      <c r="CF151" s="5">
        <v>140.80000000000001</v>
      </c>
      <c r="CG151" s="5">
        <v>292.45999999999998</v>
      </c>
      <c r="CH151" s="5">
        <v>133.35</v>
      </c>
      <c r="CI151" s="5">
        <v>297.14</v>
      </c>
      <c r="CJ151" s="5">
        <v>132.13</v>
      </c>
      <c r="CM151" s="13" t="s">
        <v>182</v>
      </c>
      <c r="CN151" s="20">
        <v>39.524830000000001</v>
      </c>
      <c r="CO151" s="20">
        <v>-119.84367</v>
      </c>
      <c r="CP151" s="19">
        <v>0.23799999999999993</v>
      </c>
      <c r="CQ151" s="19">
        <v>0.23199999999999998</v>
      </c>
      <c r="CR151" s="19">
        <v>0.105</v>
      </c>
      <c r="CS151" s="19">
        <v>0.20399999999999996</v>
      </c>
      <c r="CT151" s="98">
        <v>283.70555555555558</v>
      </c>
      <c r="CU151" s="98">
        <v>296.48333333333335</v>
      </c>
      <c r="CV151" s="98">
        <v>305.92777777777781</v>
      </c>
      <c r="CW151" s="98">
        <v>285.92777777777781</v>
      </c>
      <c r="CX151" s="104">
        <v>1</v>
      </c>
      <c r="CY151" s="104">
        <v>2</v>
      </c>
      <c r="CZ151" s="104">
        <v>3</v>
      </c>
      <c r="DA151" s="104">
        <v>4</v>
      </c>
      <c r="DB151" s="104">
        <v>1</v>
      </c>
    </row>
    <row r="152" spans="8:106">
      <c r="I152" s="170" t="s">
        <v>465</v>
      </c>
      <c r="J152" s="170"/>
      <c r="K152" s="170"/>
      <c r="L152" s="170"/>
      <c r="M152" s="170"/>
      <c r="O152" s="170" t="s">
        <v>484</v>
      </c>
      <c r="P152" s="170"/>
      <c r="Q152" s="170"/>
      <c r="R152" s="170"/>
      <c r="S152" s="170"/>
      <c r="U152" s="170" t="s">
        <v>482</v>
      </c>
      <c r="V152" s="170"/>
      <c r="W152" s="170"/>
      <c r="X152" s="170"/>
      <c r="Y152" s="170"/>
      <c r="AO152" s="5">
        <f t="shared" si="173"/>
        <v>22.5</v>
      </c>
      <c r="AP152" s="5">
        <v>290.39999999999998</v>
      </c>
      <c r="AQ152" s="5">
        <v>155.71</v>
      </c>
      <c r="AR152" s="5">
        <v>297.31</v>
      </c>
      <c r="AS152" s="5">
        <v>152.43</v>
      </c>
      <c r="AT152" s="5">
        <v>306.07</v>
      </c>
      <c r="AU152" s="5">
        <v>150.69999999999999</v>
      </c>
      <c r="AV152" s="5">
        <v>309.3</v>
      </c>
      <c r="AW152" s="5">
        <v>146.41</v>
      </c>
      <c r="AX152" s="5">
        <v>318.42</v>
      </c>
      <c r="AY152" s="5">
        <v>146.63</v>
      </c>
      <c r="AZ152" s="5">
        <v>333.31</v>
      </c>
      <c r="BA152" s="5">
        <v>149.49</v>
      </c>
      <c r="BB152">
        <f t="shared" si="174"/>
        <v>22.5</v>
      </c>
      <c r="BC152" s="5">
        <v>288.36</v>
      </c>
      <c r="BD152" s="5">
        <v>153.68</v>
      </c>
      <c r="BE152" s="5">
        <v>306.54000000000002</v>
      </c>
      <c r="BF152" s="5">
        <v>157.69</v>
      </c>
      <c r="BG152" s="5">
        <v>307.27</v>
      </c>
      <c r="BH152" s="5">
        <v>150.1</v>
      </c>
      <c r="BI152" s="5">
        <v>312.02999999999997</v>
      </c>
      <c r="BJ152" s="5">
        <v>146.63</v>
      </c>
      <c r="BK152" s="5">
        <v>321.3</v>
      </c>
      <c r="BL152" s="5">
        <v>145.30000000000001</v>
      </c>
      <c r="BM152" s="5">
        <v>316.14</v>
      </c>
      <c r="BN152" s="5">
        <v>140.49</v>
      </c>
      <c r="BO152">
        <f t="shared" si="175"/>
        <v>22.5</v>
      </c>
      <c r="BP152" s="5">
        <v>301.37</v>
      </c>
      <c r="BQ152" s="5">
        <v>152.24</v>
      </c>
      <c r="BR152" s="5">
        <v>314.47000000000003</v>
      </c>
      <c r="BS152" s="5">
        <v>153.46</v>
      </c>
      <c r="BT152" s="5">
        <v>314.66000000000003</v>
      </c>
      <c r="BU152" s="5">
        <v>149.61000000000001</v>
      </c>
      <c r="BV152" s="5">
        <v>318.55</v>
      </c>
      <c r="BW152" s="5">
        <v>146.83000000000001</v>
      </c>
      <c r="BX152" s="5">
        <v>319.11</v>
      </c>
      <c r="BY152" s="5">
        <v>142.06</v>
      </c>
      <c r="BZ152">
        <f t="shared" si="176"/>
        <v>22.5</v>
      </c>
      <c r="CA152" s="5">
        <v>317.01</v>
      </c>
      <c r="CB152" s="5">
        <v>157.62</v>
      </c>
      <c r="CC152" s="5">
        <v>317.92</v>
      </c>
      <c r="CD152" s="5">
        <v>153.35</v>
      </c>
      <c r="CE152" s="5">
        <v>330.2</v>
      </c>
      <c r="CF152" s="5">
        <v>153.49</v>
      </c>
      <c r="CG152" s="5">
        <v>319.49</v>
      </c>
      <c r="CH152" s="5">
        <v>146.69</v>
      </c>
      <c r="CI152" s="5">
        <v>324.89</v>
      </c>
      <c r="CJ152" s="5">
        <v>143.66</v>
      </c>
      <c r="CM152" s="13" t="s">
        <v>183</v>
      </c>
      <c r="CN152" s="20">
        <v>40.972259999999999</v>
      </c>
      <c r="CO152" s="20">
        <v>-117.7227</v>
      </c>
      <c r="CP152" s="19">
        <v>0.29799999999999999</v>
      </c>
      <c r="CQ152" s="19">
        <v>0.309</v>
      </c>
      <c r="CR152" s="19">
        <v>0.15300000000000002</v>
      </c>
      <c r="CS152" s="19">
        <v>0.254</v>
      </c>
      <c r="CT152" s="98">
        <v>281.48333333333335</v>
      </c>
      <c r="CU152" s="98">
        <v>295.37222222222226</v>
      </c>
      <c r="CV152" s="98">
        <v>305.92777777777781</v>
      </c>
      <c r="CW152" s="98">
        <v>283.70555555555558</v>
      </c>
      <c r="CX152" s="104">
        <v>1</v>
      </c>
      <c r="CY152" s="104">
        <v>2</v>
      </c>
      <c r="CZ152" s="104">
        <v>3</v>
      </c>
      <c r="DA152" s="104">
        <v>4</v>
      </c>
      <c r="DB152" s="104">
        <v>1</v>
      </c>
    </row>
    <row r="153" spans="8:106">
      <c r="H153" s="99" t="s">
        <v>288</v>
      </c>
      <c r="I153" s="99" t="s">
        <v>289</v>
      </c>
      <c r="J153" s="99" t="s">
        <v>0</v>
      </c>
      <c r="K153" s="99" t="s">
        <v>3</v>
      </c>
      <c r="L153" s="99" t="s">
        <v>4</v>
      </c>
      <c r="M153" s="99" t="s">
        <v>5</v>
      </c>
      <c r="O153" s="99" t="s">
        <v>289</v>
      </c>
      <c r="P153" s="99" t="s">
        <v>0</v>
      </c>
      <c r="Q153" s="99" t="s">
        <v>3</v>
      </c>
      <c r="R153" s="99" t="s">
        <v>4</v>
      </c>
      <c r="S153" s="99" t="s">
        <v>5</v>
      </c>
      <c r="U153" s="99" t="s">
        <v>289</v>
      </c>
      <c r="V153" s="99" t="s">
        <v>0</v>
      </c>
      <c r="W153" s="99" t="s">
        <v>3</v>
      </c>
      <c r="X153" s="99" t="s">
        <v>4</v>
      </c>
      <c r="Y153" s="99" t="s">
        <v>5</v>
      </c>
      <c r="AO153" s="5">
        <f t="shared" si="173"/>
        <v>23.5</v>
      </c>
      <c r="AP153" s="5">
        <v>320.32</v>
      </c>
      <c r="AQ153" s="5">
        <v>166.98</v>
      </c>
      <c r="AR153" s="5">
        <v>325.93</v>
      </c>
      <c r="AS153" s="5">
        <v>162.52000000000001</v>
      </c>
      <c r="AT153" s="5">
        <v>334.87</v>
      </c>
      <c r="AU153" s="5">
        <v>158.61000000000001</v>
      </c>
      <c r="AV153" s="5">
        <v>334.73</v>
      </c>
      <c r="AW153" s="5">
        <v>153.57</v>
      </c>
      <c r="AX153" s="5">
        <v>345.02</v>
      </c>
      <c r="AY153" s="5">
        <v>151.91999999999999</v>
      </c>
      <c r="AZ153" s="5">
        <v>2.7</v>
      </c>
      <c r="BA153" s="5">
        <v>151.81</v>
      </c>
      <c r="BB153">
        <f t="shared" si="174"/>
        <v>23.5</v>
      </c>
      <c r="BC153" s="5">
        <v>313.74</v>
      </c>
      <c r="BD153" s="5">
        <v>165.38</v>
      </c>
      <c r="BE153" s="5">
        <v>346.91</v>
      </c>
      <c r="BF153" s="5">
        <v>165.17</v>
      </c>
      <c r="BG153" s="5">
        <v>335.64</v>
      </c>
      <c r="BH153" s="5">
        <v>157.71</v>
      </c>
      <c r="BI153" s="5">
        <v>338</v>
      </c>
      <c r="BJ153" s="5">
        <v>153.22999999999999</v>
      </c>
      <c r="BK153" s="5">
        <v>347.08</v>
      </c>
      <c r="BL153" s="5">
        <v>149.97999999999999</v>
      </c>
      <c r="BM153" s="5">
        <v>338.62</v>
      </c>
      <c r="BN153" s="5">
        <v>145.86000000000001</v>
      </c>
      <c r="BO153">
        <f t="shared" si="175"/>
        <v>23.5</v>
      </c>
      <c r="BP153" s="5">
        <v>330.94</v>
      </c>
      <c r="BQ153" s="5">
        <v>161.34</v>
      </c>
      <c r="BR153" s="5">
        <v>348.04</v>
      </c>
      <c r="BS153" s="5">
        <v>159.5</v>
      </c>
      <c r="BT153" s="5">
        <v>343.58</v>
      </c>
      <c r="BU153" s="5">
        <v>155.65</v>
      </c>
      <c r="BV153" s="5">
        <v>345.27</v>
      </c>
      <c r="BW153" s="5">
        <v>152.03</v>
      </c>
      <c r="BX153" s="5">
        <v>342.66</v>
      </c>
      <c r="BY153" s="5">
        <v>147.02000000000001</v>
      </c>
      <c r="BZ153">
        <f t="shared" si="176"/>
        <v>23.5</v>
      </c>
      <c r="CA153" s="5">
        <v>358.27</v>
      </c>
      <c r="CB153" s="5">
        <v>162.80000000000001</v>
      </c>
      <c r="CC153" s="5">
        <v>351.57</v>
      </c>
      <c r="CD153" s="5">
        <v>158.62</v>
      </c>
      <c r="CE153" s="5">
        <v>4.16</v>
      </c>
      <c r="CF153" s="5">
        <v>156.26</v>
      </c>
      <c r="CG153" s="5">
        <v>346.19</v>
      </c>
      <c r="CH153" s="5">
        <v>151.75</v>
      </c>
      <c r="CI153" s="5">
        <v>349.68</v>
      </c>
      <c r="CJ153" s="5">
        <v>147.63</v>
      </c>
      <c r="CM153" s="13" t="s">
        <v>184</v>
      </c>
      <c r="CN153" s="20">
        <v>42.656260000000003</v>
      </c>
      <c r="CO153" s="20">
        <v>-73.770859999999999</v>
      </c>
      <c r="CP153" s="19">
        <v>0.377</v>
      </c>
      <c r="CQ153" s="19">
        <v>0.39600000000000002</v>
      </c>
      <c r="CR153" s="19">
        <v>0.35800000000000004</v>
      </c>
      <c r="CS153" s="19">
        <v>0.42100000000000004</v>
      </c>
      <c r="CT153" s="98">
        <v>274.81666666666666</v>
      </c>
      <c r="CU153" s="98">
        <v>293.70555555555558</v>
      </c>
      <c r="CV153" s="98">
        <v>299.81666666666672</v>
      </c>
      <c r="CW153" s="98">
        <v>282.03888888888889</v>
      </c>
      <c r="CX153" s="104">
        <v>5</v>
      </c>
      <c r="CY153" s="104">
        <v>6</v>
      </c>
      <c r="CZ153" s="104">
        <v>7</v>
      </c>
      <c r="DA153" s="104">
        <v>8</v>
      </c>
      <c r="DB153" s="104">
        <v>2</v>
      </c>
    </row>
    <row r="154" spans="8:106">
      <c r="H154" t="s">
        <v>264</v>
      </c>
      <c r="I154" s="100">
        <v>0.5</v>
      </c>
      <c r="J154" s="5">
        <f ca="1">IF(AND(K40&gt;=0,K40&lt;=90),VLOOKUP(INT(K40),$DG$39:$DS$129,10,FALSE),0)</f>
        <v>0</v>
      </c>
      <c r="K154" s="5">
        <f ca="1">IF(AND(M40&gt;=0,M40&lt;=90),VLOOKUP(INT(M40),$DG$39:$DS$129,11,FALSE),0)</f>
        <v>0</v>
      </c>
      <c r="L154" s="5">
        <f ca="1">IF(AND(O40&gt;=0,O40&lt;=90),VLOOKUP(INT(O40),$DG$39:$DS$129,12,FALSE),0)</f>
        <v>0</v>
      </c>
      <c r="M154" s="5">
        <f ca="1">IF(AND(Q40&gt;=0,Q40&lt;=90),VLOOKUP(INT(Q40),$DG$39:$DS$129,13,FALSE),0)</f>
        <v>0</v>
      </c>
      <c r="O154" s="100">
        <v>0.5</v>
      </c>
      <c r="P154" s="5">
        <f ca="1">$D$9*$D$45*$D$62*$D$59*$D$37*J154*$D$18</f>
        <v>0</v>
      </c>
      <c r="Q154" s="5">
        <f ca="1">$D$9*$D$46*$D$63*$D$59*$D$38*K154*$D$18</f>
        <v>0</v>
      </c>
      <c r="R154" s="5">
        <f ca="1">$D$9*$D$47*$D$63*$D$59*$D$39*L154*$D$18</f>
        <v>0</v>
      </c>
      <c r="S154" s="5">
        <f ca="1">$D$9*$D$48*$D$62*$D$59*$D$40*M154*$D$18</f>
        <v>0</v>
      </c>
      <c r="U154" s="100">
        <v>0.5</v>
      </c>
      <c r="V154" s="5">
        <f ca="1">$D$49*$D$37*J154</f>
        <v>0</v>
      </c>
      <c r="W154" s="5">
        <f ca="1">$D$50*$D$38*K154</f>
        <v>0</v>
      </c>
      <c r="X154" s="5">
        <f ca="1">$D$51*$D$39*L154</f>
        <v>0</v>
      </c>
      <c r="Y154" s="5">
        <f ca="1">$D$52*$D$40*M154</f>
        <v>0</v>
      </c>
      <c r="CM154" s="13" t="s">
        <v>185</v>
      </c>
      <c r="CN154" s="20">
        <v>42.10127</v>
      </c>
      <c r="CO154" s="20">
        <v>-75.909440000000004</v>
      </c>
      <c r="CP154" s="19">
        <v>0.48</v>
      </c>
      <c r="CQ154" s="19">
        <v>0.46400000000000008</v>
      </c>
      <c r="CR154" s="19">
        <v>0.43</v>
      </c>
      <c r="CS154" s="19">
        <v>0.50600000000000001</v>
      </c>
      <c r="CT154" s="98">
        <v>273.14999999999998</v>
      </c>
      <c r="CU154" s="98">
        <v>291.48333333333335</v>
      </c>
      <c r="CV154" s="98">
        <v>297.59444444444449</v>
      </c>
      <c r="CW154" s="98">
        <v>280.37222222222221</v>
      </c>
      <c r="CX154" s="104">
        <v>5</v>
      </c>
      <c r="CY154" s="104">
        <v>6</v>
      </c>
      <c r="CZ154" s="104">
        <v>7</v>
      </c>
      <c r="DA154" s="104">
        <v>8</v>
      </c>
      <c r="DB154" s="104">
        <v>2</v>
      </c>
    </row>
    <row r="155" spans="8:106">
      <c r="H155" t="s">
        <v>265</v>
      </c>
      <c r="I155" s="100">
        <v>1.5</v>
      </c>
      <c r="J155" s="5">
        <f t="shared" ref="J155:J177" ca="1" si="177">IF(AND(K41&gt;=0,K41&lt;=90),VLOOKUP(INT(K41),$DG$39:$DS$129,10,FALSE),0)</f>
        <v>0</v>
      </c>
      <c r="K155" s="5">
        <f t="shared" ref="K155:K177" ca="1" si="178">IF(AND(M41&gt;=0,M41&lt;=90),VLOOKUP(INT(M41),$DG$39:$DS$129,11,FALSE),0)</f>
        <v>0</v>
      </c>
      <c r="L155" s="5">
        <f t="shared" ref="L155:L177" ca="1" si="179">IF(AND(O41&gt;=0,O41&lt;=90),VLOOKUP(INT(O41),$DG$39:$DS$129,12,FALSE),0)</f>
        <v>0</v>
      </c>
      <c r="M155" s="5">
        <f t="shared" ref="M155:M177" ca="1" si="180">IF(AND(Q41&gt;=0,Q41&lt;=90),VLOOKUP(INT(Q41),$DG$39:$DS$129,13,FALSE),0)</f>
        <v>0</v>
      </c>
      <c r="O155" s="100">
        <v>1.5</v>
      </c>
      <c r="P155" s="5">
        <f t="shared" ref="P155:P177" ca="1" si="181">$D$9*$D$45*$D$62*$D$59*$D$37*J155*$D$18</f>
        <v>0</v>
      </c>
      <c r="Q155" s="5">
        <f t="shared" ref="Q155:Q177" ca="1" si="182">$D$9*$D$46*$D$63*$D$59*$D$38*K155*$D$18</f>
        <v>0</v>
      </c>
      <c r="R155" s="5">
        <f t="shared" ref="R155:R177" ca="1" si="183">$D$9*$D$47*$D$63*$D$59*$D$39*L155*$D$18</f>
        <v>0</v>
      </c>
      <c r="S155" s="5">
        <f t="shared" ref="S155:S177" ca="1" si="184">$D$9*$D$48*$D$62*$D$59*$D$40*M155*$D$18</f>
        <v>0</v>
      </c>
      <c r="U155" s="100">
        <v>1.5</v>
      </c>
      <c r="V155" s="5">
        <f t="shared" ref="V155:V177" ca="1" si="185">$D$49*$D$37*J155</f>
        <v>0</v>
      </c>
      <c r="W155" s="5">
        <f t="shared" ref="W155:W177" ca="1" si="186">$D$50*$D$38*K155</f>
        <v>0</v>
      </c>
      <c r="X155" s="5">
        <f t="shared" ref="X155:X177" ca="1" si="187">$D$51*$D$39*L155</f>
        <v>0</v>
      </c>
      <c r="Y155" s="5">
        <f t="shared" ref="Y155:Y177" ca="1" si="188">$D$52*$D$40*M155</f>
        <v>0</v>
      </c>
      <c r="CM155" s="17" t="s">
        <v>186</v>
      </c>
      <c r="CN155" s="20">
        <v>42.879899999999999</v>
      </c>
      <c r="CO155" s="20">
        <v>-78.874229999999997</v>
      </c>
      <c r="CP155" s="19">
        <v>0.51500000000000001</v>
      </c>
      <c r="CQ155" s="19">
        <v>0.437</v>
      </c>
      <c r="CR155" s="19">
        <v>0.41599999999999993</v>
      </c>
      <c r="CS155" s="19">
        <v>0.57000000000000006</v>
      </c>
      <c r="CT155" s="98">
        <v>273.70555555555558</v>
      </c>
      <c r="CU155" s="98">
        <v>292.59444444444449</v>
      </c>
      <c r="CV155" s="98">
        <v>298.70555555555558</v>
      </c>
      <c r="CW155" s="98">
        <v>282.03888888888889</v>
      </c>
      <c r="CX155" s="104">
        <v>5</v>
      </c>
      <c r="CY155" s="104">
        <v>6</v>
      </c>
      <c r="CZ155" s="104">
        <v>7</v>
      </c>
      <c r="DA155" s="104">
        <v>8</v>
      </c>
      <c r="DB155" s="104">
        <v>2</v>
      </c>
    </row>
    <row r="156" spans="8:106">
      <c r="H156" t="s">
        <v>266</v>
      </c>
      <c r="I156" s="100">
        <v>2.5</v>
      </c>
      <c r="J156" s="5">
        <f t="shared" ca="1" si="177"/>
        <v>0</v>
      </c>
      <c r="K156" s="5">
        <f t="shared" ca="1" si="178"/>
        <v>0</v>
      </c>
      <c r="L156" s="5">
        <f t="shared" ca="1" si="179"/>
        <v>0</v>
      </c>
      <c r="M156" s="5">
        <f t="shared" ca="1" si="180"/>
        <v>0</v>
      </c>
      <c r="O156" s="100">
        <v>2.5</v>
      </c>
      <c r="P156" s="5">
        <f t="shared" ca="1" si="181"/>
        <v>0</v>
      </c>
      <c r="Q156" s="5">
        <f t="shared" ca="1" si="182"/>
        <v>0</v>
      </c>
      <c r="R156" s="5">
        <f t="shared" ca="1" si="183"/>
        <v>0</v>
      </c>
      <c r="S156" s="5">
        <f t="shared" ca="1" si="184"/>
        <v>0</v>
      </c>
      <c r="U156" s="100">
        <v>2.5</v>
      </c>
      <c r="V156" s="5">
        <f t="shared" ca="1" si="185"/>
        <v>0</v>
      </c>
      <c r="W156" s="5">
        <f t="shared" ca="1" si="186"/>
        <v>0</v>
      </c>
      <c r="X156" s="5">
        <f t="shared" ca="1" si="187"/>
        <v>0</v>
      </c>
      <c r="Y156" s="5">
        <f t="shared" ca="1" si="188"/>
        <v>0</v>
      </c>
      <c r="CM156" s="13" t="s">
        <v>187</v>
      </c>
      <c r="CN156" s="20">
        <v>40.732430000000001</v>
      </c>
      <c r="CO156" s="20">
        <v>-73.932149999999993</v>
      </c>
      <c r="CP156" s="19">
        <v>0.34199999999999997</v>
      </c>
      <c r="CQ156" s="19">
        <v>0.39699999999999996</v>
      </c>
      <c r="CR156" s="19">
        <v>0.39400000000000002</v>
      </c>
      <c r="CS156" s="19">
        <v>0.38299999999999995</v>
      </c>
      <c r="CT156" s="98">
        <v>278.70555555555558</v>
      </c>
      <c r="CU156" s="98">
        <v>294.81666666666672</v>
      </c>
      <c r="CV156" s="98">
        <v>302.03888888888895</v>
      </c>
      <c r="CW156" s="98">
        <v>285.92777777777781</v>
      </c>
      <c r="CX156" s="104">
        <v>5</v>
      </c>
      <c r="CY156" s="104">
        <v>6</v>
      </c>
      <c r="CZ156" s="104">
        <v>7</v>
      </c>
      <c r="DA156" s="104">
        <v>8</v>
      </c>
      <c r="DB156" s="104">
        <v>2</v>
      </c>
    </row>
    <row r="157" spans="8:106">
      <c r="H157" t="s">
        <v>267</v>
      </c>
      <c r="I157" s="100">
        <v>3.5</v>
      </c>
      <c r="J157" s="5">
        <f t="shared" ca="1" si="177"/>
        <v>0</v>
      </c>
      <c r="K157" s="5">
        <f t="shared" ca="1" si="178"/>
        <v>0</v>
      </c>
      <c r="L157" s="5">
        <f t="shared" ca="1" si="179"/>
        <v>0</v>
      </c>
      <c r="M157" s="5">
        <f t="shared" ca="1" si="180"/>
        <v>0</v>
      </c>
      <c r="O157" s="100">
        <v>3.5</v>
      </c>
      <c r="P157" s="5">
        <f t="shared" ca="1" si="181"/>
        <v>0</v>
      </c>
      <c r="Q157" s="5">
        <f t="shared" ca="1" si="182"/>
        <v>0</v>
      </c>
      <c r="R157" s="5">
        <f t="shared" ca="1" si="183"/>
        <v>0</v>
      </c>
      <c r="S157" s="5">
        <f t="shared" ca="1" si="184"/>
        <v>0</v>
      </c>
      <c r="U157" s="100">
        <v>3.5</v>
      </c>
      <c r="V157" s="5">
        <f t="shared" ca="1" si="185"/>
        <v>0</v>
      </c>
      <c r="W157" s="5">
        <f t="shared" ca="1" si="186"/>
        <v>0</v>
      </c>
      <c r="X157" s="5">
        <f t="shared" ca="1" si="187"/>
        <v>0</v>
      </c>
      <c r="Y157" s="5">
        <f t="shared" ca="1" si="188"/>
        <v>0</v>
      </c>
      <c r="CM157" s="13" t="s">
        <v>188</v>
      </c>
      <c r="CN157" s="20">
        <v>43.465139999999998</v>
      </c>
      <c r="CO157" s="20">
        <v>-76.50658</v>
      </c>
      <c r="CP157" s="19">
        <v>0.51700000000000002</v>
      </c>
      <c r="CQ157" s="19">
        <v>0.36699999999999994</v>
      </c>
      <c r="CR157" s="19">
        <v>0.33499999999999996</v>
      </c>
      <c r="CS157" s="19">
        <v>0.56299999999999994</v>
      </c>
      <c r="CT157" s="98">
        <v>273.70555555555558</v>
      </c>
      <c r="CU157" s="98">
        <v>291.48333333333335</v>
      </c>
      <c r="CV157" s="98">
        <v>298.70555555555558</v>
      </c>
      <c r="CW157" s="98">
        <v>281.48333333333335</v>
      </c>
      <c r="CX157" s="104">
        <v>5</v>
      </c>
      <c r="CY157" s="104">
        <v>6</v>
      </c>
      <c r="CZ157" s="104">
        <v>7</v>
      </c>
      <c r="DA157" s="104">
        <v>8</v>
      </c>
      <c r="DB157" s="104">
        <v>2</v>
      </c>
    </row>
    <row r="158" spans="8:106">
      <c r="H158" t="s">
        <v>268</v>
      </c>
      <c r="I158" s="100">
        <v>4.5</v>
      </c>
      <c r="J158" s="5">
        <f t="shared" ca="1" si="177"/>
        <v>0</v>
      </c>
      <c r="K158" s="5">
        <f t="shared" ca="1" si="178"/>
        <v>0</v>
      </c>
      <c r="L158" s="5">
        <f t="shared" ca="1" si="179"/>
        <v>0</v>
      </c>
      <c r="M158" s="5">
        <f t="shared" ca="1" si="180"/>
        <v>0</v>
      </c>
      <c r="O158" s="100">
        <v>4.5</v>
      </c>
      <c r="P158" s="5">
        <f t="shared" ca="1" si="181"/>
        <v>0</v>
      </c>
      <c r="Q158" s="5">
        <f t="shared" ca="1" si="182"/>
        <v>0</v>
      </c>
      <c r="R158" s="5">
        <f t="shared" ca="1" si="183"/>
        <v>0</v>
      </c>
      <c r="S158" s="5">
        <f t="shared" ca="1" si="184"/>
        <v>0</v>
      </c>
      <c r="U158" s="100">
        <v>4.5</v>
      </c>
      <c r="V158" s="5">
        <f t="shared" ca="1" si="185"/>
        <v>0</v>
      </c>
      <c r="W158" s="5">
        <f t="shared" ca="1" si="186"/>
        <v>0</v>
      </c>
      <c r="X158" s="5">
        <f t="shared" ca="1" si="187"/>
        <v>0</v>
      </c>
      <c r="Y158" s="5">
        <f t="shared" ca="1" si="188"/>
        <v>0</v>
      </c>
      <c r="CM158" s="13" t="s">
        <v>189</v>
      </c>
      <c r="CN158" s="20">
        <v>43.162619999999997</v>
      </c>
      <c r="CO158" s="20">
        <v>-77.629109999999997</v>
      </c>
      <c r="CP158" s="19">
        <v>0.49399999999999999</v>
      </c>
      <c r="CQ158" s="19">
        <v>0.39899999999999997</v>
      </c>
      <c r="CR158" s="19">
        <v>0.38500000000000001</v>
      </c>
      <c r="CS158" s="19">
        <v>0.56400000000000006</v>
      </c>
      <c r="CT158" s="98">
        <v>274.26111111111112</v>
      </c>
      <c r="CU158" s="98">
        <v>293.15000000000003</v>
      </c>
      <c r="CV158" s="98">
        <v>299.26111111111112</v>
      </c>
      <c r="CW158" s="98">
        <v>282.03888888888889</v>
      </c>
      <c r="CX158" s="104">
        <v>5</v>
      </c>
      <c r="CY158" s="104">
        <v>6</v>
      </c>
      <c r="CZ158" s="104">
        <v>7</v>
      </c>
      <c r="DA158" s="104">
        <v>8</v>
      </c>
      <c r="DB158" s="104">
        <v>2</v>
      </c>
    </row>
    <row r="159" spans="8:106">
      <c r="H159" t="s">
        <v>269</v>
      </c>
      <c r="I159" s="100">
        <v>5.5</v>
      </c>
      <c r="J159" s="5">
        <f t="shared" ca="1" si="177"/>
        <v>0</v>
      </c>
      <c r="K159" s="5">
        <f t="shared" ca="1" si="178"/>
        <v>1.5730000000000008</v>
      </c>
      <c r="L159" s="5">
        <f t="shared" ca="1" si="179"/>
        <v>1.2330000000000001</v>
      </c>
      <c r="M159" s="5">
        <f t="shared" ca="1" si="180"/>
        <v>0</v>
      </c>
      <c r="O159" s="100">
        <v>5.5</v>
      </c>
      <c r="P159" s="5">
        <f t="shared" ca="1" si="181"/>
        <v>0</v>
      </c>
      <c r="Q159" s="5">
        <f t="shared" ca="1" si="182"/>
        <v>9.788150532239861</v>
      </c>
      <c r="R159" s="5">
        <f t="shared" ca="1" si="183"/>
        <v>6.4826735899420633</v>
      </c>
      <c r="S159" s="5">
        <f t="shared" ca="1" si="184"/>
        <v>0</v>
      </c>
      <c r="U159" s="100">
        <v>5.5</v>
      </c>
      <c r="V159" s="5">
        <f t="shared" ca="1" si="185"/>
        <v>0</v>
      </c>
      <c r="W159" s="5">
        <f t="shared" ca="1" si="186"/>
        <v>0.20837216400000011</v>
      </c>
      <c r="X159" s="5">
        <f t="shared" ca="1" si="187"/>
        <v>0.15473656800000002</v>
      </c>
      <c r="Y159" s="5">
        <f t="shared" ca="1" si="188"/>
        <v>0</v>
      </c>
      <c r="CM159" s="13" t="s">
        <v>190</v>
      </c>
      <c r="CN159" s="20">
        <v>43.03051</v>
      </c>
      <c r="CO159" s="20">
        <v>-76.135850000000005</v>
      </c>
      <c r="CP159" s="19">
        <v>0.49299999999999999</v>
      </c>
      <c r="CQ159" s="19">
        <v>0.42200000000000004</v>
      </c>
      <c r="CR159" s="19">
        <v>0.38799999999999996</v>
      </c>
      <c r="CS159" s="19">
        <v>0.51700000000000002</v>
      </c>
      <c r="CT159" s="98">
        <v>274.81666666666666</v>
      </c>
      <c r="CU159" s="98">
        <v>293.70555555555558</v>
      </c>
      <c r="CV159" s="98">
        <v>299.81666666666672</v>
      </c>
      <c r="CW159" s="98">
        <v>282.59444444444443</v>
      </c>
      <c r="CX159" s="104">
        <v>5</v>
      </c>
      <c r="CY159" s="104">
        <v>6</v>
      </c>
      <c r="CZ159" s="104">
        <v>7</v>
      </c>
      <c r="DA159" s="104">
        <v>8</v>
      </c>
      <c r="DB159" s="104">
        <v>2</v>
      </c>
    </row>
    <row r="160" spans="8:106">
      <c r="H160" t="s">
        <v>270</v>
      </c>
      <c r="I160" s="100">
        <v>6.5</v>
      </c>
      <c r="J160" s="5">
        <f t="shared" ca="1" si="177"/>
        <v>0</v>
      </c>
      <c r="K160" s="5">
        <f t="shared" ca="1" si="178"/>
        <v>3.923</v>
      </c>
      <c r="L160" s="5">
        <f t="shared" ca="1" si="179"/>
        <v>3.54</v>
      </c>
      <c r="M160" s="5">
        <f t="shared" ca="1" si="180"/>
        <v>0.25599999999999989</v>
      </c>
      <c r="O160" s="100">
        <v>6.5</v>
      </c>
      <c r="P160" s="5">
        <f t="shared" ca="1" si="181"/>
        <v>0</v>
      </c>
      <c r="Q160" s="5">
        <f t="shared" ca="1" si="182"/>
        <v>24.411261626177339</v>
      </c>
      <c r="R160" s="5">
        <f t="shared" ca="1" si="183"/>
        <v>18.612055562364077</v>
      </c>
      <c r="S160" s="5">
        <f t="shared" ca="1" si="184"/>
        <v>1.4068922856996218</v>
      </c>
      <c r="U160" s="100">
        <v>6.5</v>
      </c>
      <c r="V160" s="5">
        <f t="shared" ca="1" si="185"/>
        <v>0</v>
      </c>
      <c r="W160" s="5">
        <f t="shared" ca="1" si="186"/>
        <v>0.51967196400000004</v>
      </c>
      <c r="X160" s="5">
        <f t="shared" ca="1" si="187"/>
        <v>0.44425584000000001</v>
      </c>
      <c r="Y160" s="5">
        <f t="shared" ca="1" si="188"/>
        <v>3.2296959999999986E-2</v>
      </c>
      <c r="CM160" s="13" t="s">
        <v>191</v>
      </c>
      <c r="CN160" s="20">
        <v>41.084510000000002</v>
      </c>
      <c r="CO160" s="20">
        <v>-81.509730000000005</v>
      </c>
      <c r="CP160" s="19">
        <v>0.50600000000000001</v>
      </c>
      <c r="CQ160" s="19">
        <v>0.45900000000000007</v>
      </c>
      <c r="CR160" s="19">
        <v>0.39099999999999996</v>
      </c>
      <c r="CS160" s="19">
        <v>0.48499999999999999</v>
      </c>
      <c r="CT160" s="98">
        <v>276.48333333333335</v>
      </c>
      <c r="CU160" s="98">
        <v>294.81666666666672</v>
      </c>
      <c r="CV160" s="98">
        <v>300.92777777777781</v>
      </c>
      <c r="CW160" s="98">
        <v>283.14999999999998</v>
      </c>
      <c r="CX160" s="104">
        <v>5</v>
      </c>
      <c r="CY160" s="104">
        <v>6</v>
      </c>
      <c r="CZ160" s="104">
        <v>7</v>
      </c>
      <c r="DA160" s="104">
        <v>8</v>
      </c>
      <c r="DB160" s="104">
        <v>2</v>
      </c>
    </row>
    <row r="161" spans="7:106">
      <c r="H161" t="s">
        <v>271</v>
      </c>
      <c r="I161" s="100">
        <v>7.5</v>
      </c>
      <c r="J161" s="5">
        <f t="shared" ca="1" si="177"/>
        <v>0.68500000000000005</v>
      </c>
      <c r="K161" s="5">
        <f t="shared" ca="1" si="178"/>
        <v>7.984</v>
      </c>
      <c r="L161" s="5">
        <f t="shared" ca="1" si="179"/>
        <v>7.4210000000000012</v>
      </c>
      <c r="M161" s="5">
        <f t="shared" ca="1" si="180"/>
        <v>1.540999999999999</v>
      </c>
      <c r="O161" s="100">
        <v>7.5</v>
      </c>
      <c r="P161" s="5">
        <f t="shared" ca="1" si="181"/>
        <v>3.2483874840351254</v>
      </c>
      <c r="Q161" s="5">
        <f t="shared" ca="1" si="182"/>
        <v>49.681242116594412</v>
      </c>
      <c r="R161" s="5">
        <f t="shared" ca="1" si="183"/>
        <v>39.016967324379607</v>
      </c>
      <c r="S161" s="5">
        <f t="shared" ca="1" si="184"/>
        <v>8.4688320791527989</v>
      </c>
      <c r="U161" s="100">
        <v>7.5</v>
      </c>
      <c r="V161" s="5">
        <f t="shared" ca="1" si="185"/>
        <v>6.8453419999999987E-2</v>
      </c>
      <c r="W161" s="5">
        <f t="shared" ca="1" si="186"/>
        <v>1.0576245120000001</v>
      </c>
      <c r="X161" s="5">
        <f t="shared" ca="1" si="187"/>
        <v>0.93130581600000006</v>
      </c>
      <c r="Y161" s="5">
        <f t="shared" ca="1" si="188"/>
        <v>0.19441255999999987</v>
      </c>
      <c r="CM161" s="13" t="s">
        <v>192</v>
      </c>
      <c r="CN161" s="20">
        <v>41.456609999999998</v>
      </c>
      <c r="CO161" s="20">
        <v>-81.695570000000004</v>
      </c>
      <c r="CP161" s="19">
        <v>0.49399999999999999</v>
      </c>
      <c r="CQ161" s="19">
        <v>0.40699999999999997</v>
      </c>
      <c r="CR161" s="19">
        <v>0.36699999999999999</v>
      </c>
      <c r="CS161" s="19">
        <v>0.53699999999999992</v>
      </c>
      <c r="CT161" s="98">
        <v>276.48333333333335</v>
      </c>
      <c r="CU161" s="98">
        <v>293.70555555555558</v>
      </c>
      <c r="CV161" s="98">
        <v>300.37222222222226</v>
      </c>
      <c r="CW161" s="98">
        <v>283.70555555555558</v>
      </c>
      <c r="CX161" s="104">
        <v>5</v>
      </c>
      <c r="CY161" s="104">
        <v>6</v>
      </c>
      <c r="CZ161" s="104">
        <v>7</v>
      </c>
      <c r="DA161" s="104">
        <v>8</v>
      </c>
      <c r="DB161" s="104">
        <v>2</v>
      </c>
    </row>
    <row r="162" spans="7:106">
      <c r="H162" t="s">
        <v>272</v>
      </c>
      <c r="I162" s="100">
        <v>8.5</v>
      </c>
      <c r="J162" s="5">
        <f t="shared" ca="1" si="177"/>
        <v>2.2419999999999991</v>
      </c>
      <c r="K162" s="5">
        <f t="shared" ca="1" si="178"/>
        <v>13.725000000000005</v>
      </c>
      <c r="L162" s="5">
        <f t="shared" ca="1" si="179"/>
        <v>12.358999999999998</v>
      </c>
      <c r="M162" s="5">
        <f t="shared" ca="1" si="180"/>
        <v>2.9869999999999997</v>
      </c>
      <c r="O162" s="100">
        <v>8.5</v>
      </c>
      <c r="P162" s="5">
        <f t="shared" ca="1" si="181"/>
        <v>10.631948524389413</v>
      </c>
      <c r="Q162" s="5">
        <f t="shared" ca="1" si="182"/>
        <v>85.405191389060434</v>
      </c>
      <c r="R162" s="5">
        <f t="shared" ca="1" si="183"/>
        <v>64.979207541033219</v>
      </c>
      <c r="S162" s="5">
        <f t="shared" ca="1" si="184"/>
        <v>16.415575224159262</v>
      </c>
      <c r="U162" s="100">
        <v>8.5</v>
      </c>
      <c r="V162" s="5">
        <f t="shared" ca="1" si="185"/>
        <v>0.22404754399999988</v>
      </c>
      <c r="W162" s="5">
        <f t="shared" ca="1" si="186"/>
        <v>1.8181233000000008</v>
      </c>
      <c r="X162" s="5">
        <f t="shared" ca="1" si="187"/>
        <v>1.5510050639999997</v>
      </c>
      <c r="Y162" s="5">
        <f t="shared" ca="1" si="188"/>
        <v>0.37683991999999994</v>
      </c>
      <c r="CM162" s="17" t="s">
        <v>193</v>
      </c>
      <c r="CN162" s="20">
        <v>39.995190000000001</v>
      </c>
      <c r="CO162" s="20">
        <v>-82.988569999999996</v>
      </c>
      <c r="CP162" s="19">
        <v>0.44199999999999995</v>
      </c>
      <c r="CQ162" s="19">
        <v>0.39500000000000002</v>
      </c>
      <c r="CR162" s="19">
        <v>0.32600000000000001</v>
      </c>
      <c r="CS162" s="19">
        <v>0.41300000000000003</v>
      </c>
      <c r="CT162" s="98">
        <v>277.59444444444443</v>
      </c>
      <c r="CU162" s="98">
        <v>295.92777777777781</v>
      </c>
      <c r="CV162" s="98">
        <v>302.03888888888895</v>
      </c>
      <c r="CW162" s="98">
        <v>284.26111111111112</v>
      </c>
      <c r="CX162" s="104">
        <v>5</v>
      </c>
      <c r="CY162" s="104">
        <v>6</v>
      </c>
      <c r="CZ162" s="104">
        <v>7</v>
      </c>
      <c r="DA162" s="104">
        <v>8</v>
      </c>
      <c r="DB162" s="104">
        <v>2</v>
      </c>
    </row>
    <row r="163" spans="7:106">
      <c r="H163" t="s">
        <v>273</v>
      </c>
      <c r="I163" s="100">
        <v>9.5</v>
      </c>
      <c r="J163" s="5">
        <f t="shared" ca="1" si="177"/>
        <v>4.51</v>
      </c>
      <c r="K163" s="5">
        <f t="shared" ca="1" si="178"/>
        <v>19.129999999999995</v>
      </c>
      <c r="L163" s="5">
        <f t="shared" ca="1" si="179"/>
        <v>18.383999999999997</v>
      </c>
      <c r="M163" s="5">
        <f t="shared" ca="1" si="180"/>
        <v>5.5649999999999977</v>
      </c>
      <c r="O163" s="100">
        <v>9.5</v>
      </c>
      <c r="P163" s="5">
        <f t="shared" ca="1" si="181"/>
        <v>21.387193508026883</v>
      </c>
      <c r="Q163" s="5">
        <f t="shared" ca="1" si="182"/>
        <v>119.03834690511658</v>
      </c>
      <c r="R163" s="5">
        <f t="shared" ca="1" si="183"/>
        <v>96.65650549675172</v>
      </c>
      <c r="S163" s="5">
        <f t="shared" ca="1" si="184"/>
        <v>30.583420194993728</v>
      </c>
      <c r="U163" s="100">
        <v>9.5</v>
      </c>
      <c r="V163" s="5">
        <f t="shared" ca="1" si="185"/>
        <v>0.4506933199999999</v>
      </c>
      <c r="W163" s="5">
        <f t="shared" ca="1" si="186"/>
        <v>2.5341128399999993</v>
      </c>
      <c r="X163" s="5">
        <f t="shared" ca="1" si="187"/>
        <v>2.3071184639999993</v>
      </c>
      <c r="Y163" s="5">
        <f t="shared" ca="1" si="188"/>
        <v>0.70208039999999972</v>
      </c>
      <c r="CM163" s="18" t="s">
        <v>194</v>
      </c>
      <c r="CN163" s="20">
        <v>39.757210000000001</v>
      </c>
      <c r="CO163" s="20">
        <v>-84.176079999999999</v>
      </c>
      <c r="CP163" s="19">
        <v>0.44399999999999995</v>
      </c>
      <c r="CQ163" s="19">
        <v>0.41600000000000004</v>
      </c>
      <c r="CR163" s="19">
        <v>0.33700000000000002</v>
      </c>
      <c r="CS163" s="19">
        <v>0.41300000000000003</v>
      </c>
      <c r="CT163" s="98">
        <v>277.03888888888889</v>
      </c>
      <c r="CU163" s="98">
        <v>294.81666666666672</v>
      </c>
      <c r="CV163" s="98">
        <v>301.48333333333335</v>
      </c>
      <c r="CW163" s="98">
        <v>283.70555555555558</v>
      </c>
      <c r="CX163" s="104">
        <v>5</v>
      </c>
      <c r="CY163" s="104">
        <v>6</v>
      </c>
      <c r="CZ163" s="104">
        <v>7</v>
      </c>
      <c r="DA163" s="104">
        <v>8</v>
      </c>
      <c r="DB163" s="104">
        <v>2</v>
      </c>
    </row>
    <row r="164" spans="7:106">
      <c r="H164" t="s">
        <v>274</v>
      </c>
      <c r="I164" s="100">
        <v>10.5</v>
      </c>
      <c r="J164" s="5">
        <f t="shared" ca="1" si="177"/>
        <v>6.76</v>
      </c>
      <c r="K164" s="5">
        <f t="shared" ca="1" si="178"/>
        <v>23.53</v>
      </c>
      <c r="L164" s="5">
        <f t="shared" ca="1" si="179"/>
        <v>22.736000000000001</v>
      </c>
      <c r="M164" s="5">
        <f t="shared" ca="1" si="180"/>
        <v>7.42</v>
      </c>
      <c r="O164" s="100">
        <v>10.5</v>
      </c>
      <c r="P164" s="5">
        <f t="shared" ca="1" si="181"/>
        <v>32.057079404492626</v>
      </c>
      <c r="Q164" s="5">
        <f t="shared" ca="1" si="182"/>
        <v>146.41778895333999</v>
      </c>
      <c r="R164" s="5">
        <f t="shared" ca="1" si="183"/>
        <v>119.53776702426825</v>
      </c>
      <c r="S164" s="5">
        <f t="shared" ca="1" si="184"/>
        <v>40.77789359332499</v>
      </c>
      <c r="U164" s="100">
        <v>10.5</v>
      </c>
      <c r="V164" s="5">
        <f t="shared" ca="1" si="185"/>
        <v>0.67554031999999986</v>
      </c>
      <c r="W164" s="5">
        <f t="shared" ca="1" si="186"/>
        <v>3.1169720400000003</v>
      </c>
      <c r="X164" s="5">
        <f t="shared" ca="1" si="187"/>
        <v>2.853277056</v>
      </c>
      <c r="Y164" s="5">
        <f t="shared" ca="1" si="188"/>
        <v>0.93610719999999992</v>
      </c>
      <c r="CM164" s="13" t="s">
        <v>195</v>
      </c>
      <c r="CN164" s="20">
        <v>41.448869999999999</v>
      </c>
      <c r="CO164" s="20">
        <v>-82.713980000000006</v>
      </c>
      <c r="CP164" s="19">
        <v>0.43799999999999994</v>
      </c>
      <c r="CQ164" s="19">
        <v>0.37399999999999994</v>
      </c>
      <c r="CR164" s="19">
        <v>0.31499999999999995</v>
      </c>
      <c r="CS164" s="19">
        <v>0.47300000000000003</v>
      </c>
      <c r="CT164" s="98">
        <v>275.37222222222221</v>
      </c>
      <c r="CU164" s="98">
        <v>292.59444444444449</v>
      </c>
      <c r="CV164" s="98">
        <v>299.81666666666672</v>
      </c>
      <c r="CW164" s="98">
        <v>283.14999999999998</v>
      </c>
      <c r="CX164" s="104">
        <v>5</v>
      </c>
      <c r="CY164" s="104">
        <v>6</v>
      </c>
      <c r="CZ164" s="104">
        <v>7</v>
      </c>
      <c r="DA164" s="104">
        <v>8</v>
      </c>
      <c r="DB164" s="104">
        <v>2</v>
      </c>
    </row>
    <row r="165" spans="7:106">
      <c r="H165" t="s">
        <v>275</v>
      </c>
      <c r="I165" s="100">
        <v>11.5</v>
      </c>
      <c r="J165" s="5">
        <f t="shared" ca="1" si="177"/>
        <v>7.51</v>
      </c>
      <c r="K165" s="5">
        <f t="shared" ca="1" si="178"/>
        <v>25.137999999999995</v>
      </c>
      <c r="L165" s="5">
        <f t="shared" ca="1" si="179"/>
        <v>24.474000000000004</v>
      </c>
      <c r="M165" s="5">
        <f t="shared" ca="1" si="180"/>
        <v>7.9449999999999967</v>
      </c>
      <c r="O165" s="100">
        <v>11.5</v>
      </c>
      <c r="P165" s="5">
        <f t="shared" ca="1" si="181"/>
        <v>35.613708036647864</v>
      </c>
      <c r="Q165" s="5">
        <f t="shared" ca="1" si="182"/>
        <v>156.42373050187248</v>
      </c>
      <c r="R165" s="5">
        <f t="shared" ca="1" si="183"/>
        <v>128.67555023539504</v>
      </c>
      <c r="S165" s="5">
        <f t="shared" ca="1" si="184"/>
        <v>43.663121913607398</v>
      </c>
      <c r="U165" s="100">
        <v>11.5</v>
      </c>
      <c r="V165" s="5">
        <f t="shared" ca="1" si="185"/>
        <v>0.75048931999999979</v>
      </c>
      <c r="W165" s="5">
        <f t="shared" ca="1" si="186"/>
        <v>3.3299805839999994</v>
      </c>
      <c r="X165" s="5">
        <f t="shared" ca="1" si="187"/>
        <v>3.0713891040000005</v>
      </c>
      <c r="Y165" s="5">
        <f t="shared" ca="1" si="188"/>
        <v>1.0023411999999996</v>
      </c>
      <c r="CM165" s="13" t="s">
        <v>196</v>
      </c>
      <c r="CN165" s="20">
        <v>41.666789999999999</v>
      </c>
      <c r="CO165" s="20">
        <v>-83.601389999999995</v>
      </c>
      <c r="CP165" s="19">
        <v>0.41400000000000003</v>
      </c>
      <c r="CQ165" s="19">
        <v>0.35700000000000004</v>
      </c>
      <c r="CR165" s="19">
        <v>0.30100000000000005</v>
      </c>
      <c r="CS165" s="19">
        <v>0.45800000000000002</v>
      </c>
      <c r="CT165" s="98">
        <v>276.48333333333335</v>
      </c>
      <c r="CU165" s="98">
        <v>296.48333333333335</v>
      </c>
      <c r="CV165" s="98">
        <v>302.03888888888895</v>
      </c>
      <c r="CW165" s="98">
        <v>283.70555555555558</v>
      </c>
      <c r="CX165" s="104">
        <v>5</v>
      </c>
      <c r="CY165" s="104">
        <v>6</v>
      </c>
      <c r="CZ165" s="104">
        <v>7</v>
      </c>
      <c r="DA165" s="104">
        <v>8</v>
      </c>
      <c r="DB165" s="104">
        <v>2</v>
      </c>
    </row>
    <row r="166" spans="7:106">
      <c r="G166" s="11"/>
      <c r="H166" t="s">
        <v>276</v>
      </c>
      <c r="I166" s="100">
        <v>12.5</v>
      </c>
      <c r="J166" s="5">
        <f t="shared" ca="1" si="177"/>
        <v>7.51</v>
      </c>
      <c r="K166" s="5">
        <f t="shared" ca="1" si="178"/>
        <v>23.931999999999992</v>
      </c>
      <c r="L166" s="5">
        <f t="shared" ca="1" si="179"/>
        <v>24.076000000000004</v>
      </c>
      <c r="M166" s="5">
        <f t="shared" ca="1" si="180"/>
        <v>6.677999999999999</v>
      </c>
      <c r="O166" s="100">
        <v>12.5</v>
      </c>
      <c r="P166" s="5">
        <f t="shared" ca="1" si="181"/>
        <v>35.613708036647864</v>
      </c>
      <c r="Q166" s="5">
        <f t="shared" ca="1" si="182"/>
        <v>148.91927434047307</v>
      </c>
      <c r="R166" s="5">
        <f t="shared" ca="1" si="183"/>
        <v>126.58300839533264</v>
      </c>
      <c r="S166" s="5">
        <f t="shared" ca="1" si="184"/>
        <v>36.700104233992484</v>
      </c>
      <c r="U166" s="100">
        <v>12.5</v>
      </c>
      <c r="V166" s="5">
        <f t="shared" ca="1" si="185"/>
        <v>0.75048931999999979</v>
      </c>
      <c r="W166" s="5">
        <f t="shared" ca="1" si="186"/>
        <v>3.1702241759999987</v>
      </c>
      <c r="X166" s="5">
        <f t="shared" ca="1" si="187"/>
        <v>3.0214416960000006</v>
      </c>
      <c r="Y166" s="5">
        <f t="shared" ca="1" si="188"/>
        <v>0.84249647999999988</v>
      </c>
      <c r="CM166" s="13" t="s">
        <v>197</v>
      </c>
      <c r="CN166" s="20">
        <v>35.473520000000001</v>
      </c>
      <c r="CO166" s="20">
        <v>-97.474090000000004</v>
      </c>
      <c r="CP166" s="19">
        <v>0.27500000000000002</v>
      </c>
      <c r="CQ166" s="19">
        <v>0.30900000000000005</v>
      </c>
      <c r="CR166" s="19">
        <v>0.21100000000000002</v>
      </c>
      <c r="CS166" s="19">
        <v>0.22600000000000003</v>
      </c>
      <c r="CT166" s="98">
        <v>285.92777777777781</v>
      </c>
      <c r="CU166" s="98">
        <v>299.81666666666672</v>
      </c>
      <c r="CV166" s="98">
        <v>307.03888888888895</v>
      </c>
      <c r="CW166" s="98">
        <v>289.81666666666672</v>
      </c>
      <c r="CX166" s="104">
        <v>5</v>
      </c>
      <c r="CY166" s="104">
        <v>6</v>
      </c>
      <c r="CZ166" s="104">
        <v>7</v>
      </c>
      <c r="DA166" s="104">
        <v>8</v>
      </c>
      <c r="DB166" s="104">
        <v>2</v>
      </c>
    </row>
    <row r="167" spans="7:106">
      <c r="H167" t="s">
        <v>277</v>
      </c>
      <c r="I167" s="100">
        <v>13.5</v>
      </c>
      <c r="J167" s="5">
        <f t="shared" ca="1" si="177"/>
        <v>6.3849999999999998</v>
      </c>
      <c r="K167" s="5">
        <f t="shared" ca="1" si="178"/>
        <v>20.779999999999998</v>
      </c>
      <c r="L167" s="5">
        <f t="shared" ca="1" si="179"/>
        <v>21.103999999999999</v>
      </c>
      <c r="M167" s="5">
        <f t="shared" ca="1" si="180"/>
        <v>5.5649999999999977</v>
      </c>
      <c r="O167" s="100">
        <v>13.5</v>
      </c>
      <c r="P167" s="5">
        <f t="shared" ca="1" si="181"/>
        <v>30.278765088414996</v>
      </c>
      <c r="Q167" s="5">
        <f t="shared" ca="1" si="182"/>
        <v>129.30563767320035</v>
      </c>
      <c r="R167" s="5">
        <f t="shared" ca="1" si="183"/>
        <v>110.95729395144954</v>
      </c>
      <c r="S167" s="5">
        <f t="shared" ca="1" si="184"/>
        <v>30.583420194993728</v>
      </c>
      <c r="U167" s="100">
        <v>13.5</v>
      </c>
      <c r="V167" s="5">
        <f t="shared" ca="1" si="185"/>
        <v>0.63806581999999989</v>
      </c>
      <c r="W167" s="5">
        <f t="shared" ca="1" si="186"/>
        <v>2.7526850399999998</v>
      </c>
      <c r="X167" s="5">
        <f t="shared" ca="1" si="187"/>
        <v>2.648467584</v>
      </c>
      <c r="Y167" s="5">
        <f t="shared" ca="1" si="188"/>
        <v>0.70208039999999972</v>
      </c>
      <c r="CM167" s="17" t="s">
        <v>198</v>
      </c>
      <c r="CN167" s="20">
        <v>36.215730000000001</v>
      </c>
      <c r="CO167" s="20">
        <v>-95.896529999999998</v>
      </c>
      <c r="CP167" s="19">
        <v>0.32799999999999996</v>
      </c>
      <c r="CQ167" s="19">
        <v>0.375</v>
      </c>
      <c r="CR167" s="19">
        <v>0.27</v>
      </c>
      <c r="CS167" s="19">
        <v>0.29100000000000004</v>
      </c>
      <c r="CT167" s="98">
        <v>284.81666666666672</v>
      </c>
      <c r="CU167" s="98">
        <v>299.26111111111112</v>
      </c>
      <c r="CV167" s="98">
        <v>307.03888888888895</v>
      </c>
      <c r="CW167" s="98">
        <v>289.26111111111112</v>
      </c>
      <c r="CX167" s="104">
        <v>5</v>
      </c>
      <c r="CY167" s="104">
        <v>6</v>
      </c>
      <c r="CZ167" s="104">
        <v>7</v>
      </c>
      <c r="DA167" s="104">
        <v>8</v>
      </c>
      <c r="DB167" s="104">
        <v>2</v>
      </c>
    </row>
    <row r="168" spans="7:106">
      <c r="H168" t="s">
        <v>278</v>
      </c>
      <c r="I168" s="100">
        <v>14.5</v>
      </c>
      <c r="J168" s="5">
        <f t="shared" ca="1" si="177"/>
        <v>4.1349999999999998</v>
      </c>
      <c r="K168" s="5">
        <f t="shared" ca="1" si="178"/>
        <v>14.955000000000005</v>
      </c>
      <c r="L168" s="5">
        <f t="shared" ca="1" si="179"/>
        <v>16.012999999999998</v>
      </c>
      <c r="M168" s="5">
        <f t="shared" ca="1" si="180"/>
        <v>3.2279999999999998</v>
      </c>
      <c r="O168" s="100">
        <v>14.5</v>
      </c>
      <c r="P168" s="5">
        <f t="shared" ca="1" si="181"/>
        <v>19.60887919194926</v>
      </c>
      <c r="Q168" s="5">
        <f t="shared" ca="1" si="182"/>
        <v>93.05898996163198</v>
      </c>
      <c r="R168" s="5">
        <f t="shared" ca="1" si="183"/>
        <v>84.19063438421918</v>
      </c>
      <c r="S168" s="5">
        <f t="shared" ca="1" si="184"/>
        <v>17.740032414993674</v>
      </c>
      <c r="U168" s="100">
        <v>14.5</v>
      </c>
      <c r="V168" s="5">
        <f t="shared" ca="1" si="185"/>
        <v>0.41321881999999988</v>
      </c>
      <c r="W168" s="5">
        <f t="shared" ca="1" si="186"/>
        <v>1.9810589400000007</v>
      </c>
      <c r="X168" s="5">
        <f t="shared" ca="1" si="187"/>
        <v>2.0095674479999999</v>
      </c>
      <c r="Y168" s="5">
        <f t="shared" ca="1" si="188"/>
        <v>0.40724447999999996</v>
      </c>
      <c r="CM168" s="18" t="s">
        <v>199</v>
      </c>
      <c r="CN168" s="20">
        <v>44.765320000000003</v>
      </c>
      <c r="CO168" s="20">
        <v>-117.81997</v>
      </c>
      <c r="CP168" s="19">
        <v>0.34500000000000003</v>
      </c>
      <c r="CQ168" s="19">
        <v>0.36400000000000005</v>
      </c>
      <c r="CR168" s="19">
        <v>0.21900000000000003</v>
      </c>
      <c r="CS168" s="19">
        <v>0.35399999999999998</v>
      </c>
      <c r="CT168" s="98">
        <v>277.59444444444443</v>
      </c>
      <c r="CU168" s="98">
        <v>292.03888888888895</v>
      </c>
      <c r="CV168" s="98">
        <v>302.03888888888895</v>
      </c>
      <c r="CW168" s="98">
        <v>279.81666666666666</v>
      </c>
      <c r="CX168" s="104">
        <v>1</v>
      </c>
      <c r="CY168" s="104">
        <v>2</v>
      </c>
      <c r="CZ168" s="104">
        <v>3</v>
      </c>
      <c r="DA168" s="104">
        <v>4</v>
      </c>
      <c r="DB168" s="104">
        <v>1</v>
      </c>
    </row>
    <row r="169" spans="7:106">
      <c r="H169" t="s">
        <v>279</v>
      </c>
      <c r="I169" s="100">
        <v>15.5</v>
      </c>
      <c r="J169" s="5">
        <f t="shared" ca="1" si="177"/>
        <v>1.988999999999999</v>
      </c>
      <c r="K169" s="5">
        <f t="shared" ca="1" si="178"/>
        <v>9.4450000000000003</v>
      </c>
      <c r="L169" s="5">
        <f t="shared" ca="1" si="179"/>
        <v>10.307</v>
      </c>
      <c r="M169" s="5">
        <f t="shared" ca="1" si="180"/>
        <v>1.1839999999999999</v>
      </c>
      <c r="O169" s="100">
        <v>15.5</v>
      </c>
      <c r="P169" s="5">
        <f t="shared" ca="1" si="181"/>
        <v>9.4321791324757083</v>
      </c>
      <c r="Q169" s="5">
        <f t="shared" ca="1" si="182"/>
        <v>58.772461396697679</v>
      </c>
      <c r="R169" s="5">
        <f t="shared" ca="1" si="183"/>
        <v>54.190524486239134</v>
      </c>
      <c r="S169" s="5">
        <f t="shared" ca="1" si="184"/>
        <v>6.5068768213607528</v>
      </c>
      <c r="U169" s="100">
        <v>15.5</v>
      </c>
      <c r="V169" s="5">
        <f t="shared" ca="1" si="185"/>
        <v>0.19876474799999985</v>
      </c>
      <c r="W169" s="5">
        <f t="shared" ca="1" si="186"/>
        <v>1.25116026</v>
      </c>
      <c r="X169" s="5">
        <f t="shared" ca="1" si="187"/>
        <v>1.2934872719999999</v>
      </c>
      <c r="Y169" s="5">
        <f t="shared" ca="1" si="188"/>
        <v>0.14937344</v>
      </c>
      <c r="CM169" s="18" t="s">
        <v>200</v>
      </c>
      <c r="CN169" s="20">
        <v>42.330150000000003</v>
      </c>
      <c r="CO169" s="20">
        <v>-122.86868</v>
      </c>
      <c r="CP169" s="19">
        <v>0.44500000000000001</v>
      </c>
      <c r="CQ169" s="19">
        <v>0.38199999999999995</v>
      </c>
      <c r="CR169" s="19">
        <v>0.15300000000000002</v>
      </c>
      <c r="CS169" s="19">
        <v>0.46299999999999997</v>
      </c>
      <c r="CT169" s="98">
        <v>284.81666666666672</v>
      </c>
      <c r="CU169" s="98">
        <v>295.37222222222226</v>
      </c>
      <c r="CV169" s="98">
        <v>303.70555555555558</v>
      </c>
      <c r="CW169" s="98">
        <v>283.70555555555558</v>
      </c>
      <c r="CX169" s="104">
        <v>1</v>
      </c>
      <c r="CY169" s="104">
        <v>2</v>
      </c>
      <c r="CZ169" s="104">
        <v>3</v>
      </c>
      <c r="DA169" s="104">
        <v>4</v>
      </c>
      <c r="DB169" s="104">
        <v>1</v>
      </c>
    </row>
    <row r="170" spans="7:106">
      <c r="H170" t="s">
        <v>280</v>
      </c>
      <c r="I170" s="100">
        <v>16.5</v>
      </c>
      <c r="J170" s="5">
        <f t="shared" ca="1" si="177"/>
        <v>0.57600000000000007</v>
      </c>
      <c r="K170" s="5">
        <f t="shared" ca="1" si="178"/>
        <v>4.952</v>
      </c>
      <c r="L170" s="5">
        <f t="shared" ca="1" si="179"/>
        <v>5.580000000000001</v>
      </c>
      <c r="M170" s="5">
        <f t="shared" ca="1" si="180"/>
        <v>0</v>
      </c>
      <c r="O170" s="100">
        <v>16.5</v>
      </c>
      <c r="P170" s="5">
        <f t="shared" ca="1" si="181"/>
        <v>2.7314907894952296</v>
      </c>
      <c r="Q170" s="5">
        <f t="shared" ca="1" si="182"/>
        <v>30.814317505182302</v>
      </c>
      <c r="R170" s="5">
        <f t="shared" ca="1" si="183"/>
        <v>29.337646903387444</v>
      </c>
      <c r="S170" s="5">
        <f t="shared" ca="1" si="184"/>
        <v>0</v>
      </c>
      <c r="U170" s="100">
        <v>16.5</v>
      </c>
      <c r="V170" s="5">
        <f t="shared" ca="1" si="185"/>
        <v>5.7560831999999992E-2</v>
      </c>
      <c r="W170" s="5">
        <f t="shared" ca="1" si="186"/>
        <v>0.65598153599999998</v>
      </c>
      <c r="X170" s="5">
        <f t="shared" ca="1" si="187"/>
        <v>0.70026768000000006</v>
      </c>
      <c r="Y170" s="5">
        <f t="shared" ca="1" si="188"/>
        <v>0</v>
      </c>
      <c r="CM170" s="18" t="s">
        <v>201</v>
      </c>
      <c r="CN170" s="20">
        <v>45.5184</v>
      </c>
      <c r="CO170" s="20">
        <v>-122.64118999999999</v>
      </c>
      <c r="CP170" s="19">
        <v>0.51900000000000002</v>
      </c>
      <c r="CQ170" s="19">
        <v>0.47000000000000003</v>
      </c>
      <c r="CR170" s="19">
        <v>0.31199999999999994</v>
      </c>
      <c r="CS170" s="19">
        <v>0.56699999999999995</v>
      </c>
      <c r="CT170" s="98">
        <v>283.70555555555558</v>
      </c>
      <c r="CU170" s="98">
        <v>293.15000000000003</v>
      </c>
      <c r="CV170" s="98">
        <v>300.37222222222226</v>
      </c>
      <c r="CW170" s="98">
        <v>284.81666666666672</v>
      </c>
      <c r="CX170" s="104">
        <v>5</v>
      </c>
      <c r="CY170" s="104">
        <v>6</v>
      </c>
      <c r="CZ170" s="104">
        <v>7</v>
      </c>
      <c r="DA170" s="104">
        <v>8</v>
      </c>
      <c r="DB170" s="104">
        <v>2</v>
      </c>
    </row>
    <row r="171" spans="7:106">
      <c r="H171" t="s">
        <v>281</v>
      </c>
      <c r="I171" s="100">
        <v>17.5</v>
      </c>
      <c r="J171" s="5">
        <f t="shared" ca="1" si="177"/>
        <v>0</v>
      </c>
      <c r="K171" s="5">
        <f t="shared" ca="1" si="178"/>
        <v>2.019000000000001</v>
      </c>
      <c r="L171" s="5">
        <f t="shared" ca="1" si="179"/>
        <v>2.4399999999999991</v>
      </c>
      <c r="M171" s="5">
        <f t="shared" ca="1" si="180"/>
        <v>0</v>
      </c>
      <c r="O171" s="100">
        <v>17.5</v>
      </c>
      <c r="P171" s="5">
        <f t="shared" ca="1" si="181"/>
        <v>0</v>
      </c>
      <c r="Q171" s="5">
        <f t="shared" ca="1" si="182"/>
        <v>12.563430339855232</v>
      </c>
      <c r="R171" s="5">
        <f t="shared" ca="1" si="183"/>
        <v>12.828648466714215</v>
      </c>
      <c r="S171" s="5">
        <f t="shared" ca="1" si="184"/>
        <v>0</v>
      </c>
      <c r="U171" s="100">
        <v>17.5</v>
      </c>
      <c r="V171" s="5">
        <f t="shared" ca="1" si="185"/>
        <v>0</v>
      </c>
      <c r="W171" s="5">
        <f t="shared" ca="1" si="186"/>
        <v>0.26745289200000016</v>
      </c>
      <c r="X171" s="5">
        <f t="shared" ca="1" si="187"/>
        <v>0.30621023999999986</v>
      </c>
      <c r="Y171" s="5">
        <f t="shared" ca="1" si="188"/>
        <v>0</v>
      </c>
      <c r="CM171" s="18" t="s">
        <v>202</v>
      </c>
      <c r="CN171" s="20">
        <v>43.22186</v>
      </c>
      <c r="CO171" s="20">
        <v>-123.37134</v>
      </c>
      <c r="CP171" s="19">
        <v>0.47499999999999998</v>
      </c>
      <c r="CQ171" s="19">
        <v>0.35899999999999999</v>
      </c>
      <c r="CR171" s="19">
        <v>0.13200000000000001</v>
      </c>
      <c r="CS171" s="19">
        <v>0.47099999999999997</v>
      </c>
      <c r="CT171" s="98">
        <v>285.92777777777781</v>
      </c>
      <c r="CU171" s="98">
        <v>295.37222222222226</v>
      </c>
      <c r="CV171" s="98">
        <v>303.70555555555558</v>
      </c>
      <c r="CW171" s="98">
        <v>286.48333333333335</v>
      </c>
      <c r="CX171" s="104">
        <v>5</v>
      </c>
      <c r="CY171" s="104">
        <v>6</v>
      </c>
      <c r="CZ171" s="104">
        <v>7</v>
      </c>
      <c r="DA171" s="104">
        <v>8</v>
      </c>
      <c r="DB171" s="104">
        <v>2</v>
      </c>
    </row>
    <row r="172" spans="7:106">
      <c r="H172" t="s">
        <v>282</v>
      </c>
      <c r="I172" s="100">
        <v>18.5</v>
      </c>
      <c r="J172" s="5">
        <f t="shared" ca="1" si="177"/>
        <v>0</v>
      </c>
      <c r="K172" s="5">
        <f t="shared" ca="1" si="178"/>
        <v>0.59399999999999986</v>
      </c>
      <c r="L172" s="5">
        <f t="shared" ca="1" si="179"/>
        <v>0.69800000000000018</v>
      </c>
      <c r="M172" s="5">
        <f t="shared" ca="1" si="180"/>
        <v>0</v>
      </c>
      <c r="O172" s="100">
        <v>18.5</v>
      </c>
      <c r="P172" s="5">
        <f t="shared" ca="1" si="181"/>
        <v>0</v>
      </c>
      <c r="Q172" s="5">
        <f t="shared" ca="1" si="182"/>
        <v>3.6962246765101541</v>
      </c>
      <c r="R172" s="5">
        <f t="shared" ca="1" si="183"/>
        <v>3.6698346843305445</v>
      </c>
      <c r="S172" s="5">
        <f t="shared" ca="1" si="184"/>
        <v>0</v>
      </c>
      <c r="U172" s="100">
        <v>18.5</v>
      </c>
      <c r="V172" s="5">
        <f t="shared" ca="1" si="185"/>
        <v>0</v>
      </c>
      <c r="W172" s="5">
        <f t="shared" ca="1" si="186"/>
        <v>7.8685991999999982E-2</v>
      </c>
      <c r="X172" s="5">
        <f t="shared" ca="1" si="187"/>
        <v>8.7596208000000023E-2</v>
      </c>
      <c r="Y172" s="5">
        <f t="shared" ca="1" si="188"/>
        <v>0</v>
      </c>
      <c r="CM172" s="18" t="s">
        <v>203</v>
      </c>
      <c r="CN172" s="20">
        <v>42.110590000000002</v>
      </c>
      <c r="CO172" s="20">
        <v>-80.086399999999998</v>
      </c>
      <c r="CP172" s="19">
        <v>0.49099999999999999</v>
      </c>
      <c r="CQ172" s="19">
        <v>0.37599999999999995</v>
      </c>
      <c r="CR172" s="19">
        <v>0.35499999999999998</v>
      </c>
      <c r="CS172" s="19">
        <v>0.55800000000000005</v>
      </c>
      <c r="CT172" s="98">
        <v>274.81666666666666</v>
      </c>
      <c r="CU172" s="98">
        <v>292.59444444444449</v>
      </c>
      <c r="CV172" s="98">
        <v>299.26111111111112</v>
      </c>
      <c r="CW172" s="98">
        <v>283.14999999999998</v>
      </c>
      <c r="CX172" s="104">
        <v>5</v>
      </c>
      <c r="CY172" s="104">
        <v>6</v>
      </c>
      <c r="CZ172" s="104">
        <v>7</v>
      </c>
      <c r="DA172" s="104">
        <v>8</v>
      </c>
      <c r="DB172" s="104">
        <v>2</v>
      </c>
    </row>
    <row r="173" spans="7:106">
      <c r="H173" t="s">
        <v>283</v>
      </c>
      <c r="I173" s="100">
        <v>19.5</v>
      </c>
      <c r="J173" s="5">
        <f t="shared" ca="1" si="177"/>
        <v>0</v>
      </c>
      <c r="K173" s="5">
        <f t="shared" ca="1" si="178"/>
        <v>0</v>
      </c>
      <c r="L173" s="5">
        <f t="shared" ca="1" si="179"/>
        <v>0</v>
      </c>
      <c r="M173" s="5">
        <f t="shared" ca="1" si="180"/>
        <v>0</v>
      </c>
      <c r="O173" s="100">
        <v>19.5</v>
      </c>
      <c r="P173" s="5">
        <f t="shared" ca="1" si="181"/>
        <v>0</v>
      </c>
      <c r="Q173" s="5">
        <f t="shared" ca="1" si="182"/>
        <v>0</v>
      </c>
      <c r="R173" s="5">
        <f t="shared" ca="1" si="183"/>
        <v>0</v>
      </c>
      <c r="S173" s="5">
        <f t="shared" ca="1" si="184"/>
        <v>0</v>
      </c>
      <c r="U173" s="100">
        <v>19.5</v>
      </c>
      <c r="V173" s="5">
        <f t="shared" ca="1" si="185"/>
        <v>0</v>
      </c>
      <c r="W173" s="5">
        <f t="shared" ca="1" si="186"/>
        <v>0</v>
      </c>
      <c r="X173" s="5">
        <f t="shared" ca="1" si="187"/>
        <v>0</v>
      </c>
      <c r="Y173" s="5">
        <f t="shared" ca="1" si="188"/>
        <v>0</v>
      </c>
      <c r="CM173" s="18" t="s">
        <v>204</v>
      </c>
      <c r="CN173" s="20">
        <v>40.272399999999998</v>
      </c>
      <c r="CO173" s="20">
        <v>-76.87236</v>
      </c>
      <c r="CP173" s="19">
        <v>0.371</v>
      </c>
      <c r="CQ173" s="19">
        <v>0.40400000000000003</v>
      </c>
      <c r="CR173" s="19">
        <v>0.36400000000000005</v>
      </c>
      <c r="CS173" s="19">
        <v>0.373</v>
      </c>
      <c r="CT173" s="98">
        <v>278.14999999999998</v>
      </c>
      <c r="CU173" s="98">
        <v>295.92777777777781</v>
      </c>
      <c r="CV173" s="98">
        <v>302.03888888888895</v>
      </c>
      <c r="CW173" s="98">
        <v>284.81666666666672</v>
      </c>
      <c r="CX173" s="104">
        <v>5</v>
      </c>
      <c r="CY173" s="104">
        <v>6</v>
      </c>
      <c r="CZ173" s="104">
        <v>7</v>
      </c>
      <c r="DA173" s="104">
        <v>8</v>
      </c>
      <c r="DB173" s="104">
        <v>2</v>
      </c>
    </row>
    <row r="174" spans="7:106">
      <c r="H174" t="s">
        <v>284</v>
      </c>
      <c r="I174" s="100">
        <v>20.5</v>
      </c>
      <c r="J174" s="5">
        <f t="shared" ca="1" si="177"/>
        <v>0</v>
      </c>
      <c r="K174" s="5">
        <f t="shared" ca="1" si="178"/>
        <v>0</v>
      </c>
      <c r="L174" s="5">
        <f t="shared" ca="1" si="179"/>
        <v>0</v>
      </c>
      <c r="M174" s="5">
        <f t="shared" ca="1" si="180"/>
        <v>0</v>
      </c>
      <c r="O174" s="100">
        <v>20.5</v>
      </c>
      <c r="P174" s="5">
        <f t="shared" ca="1" si="181"/>
        <v>0</v>
      </c>
      <c r="Q174" s="5">
        <f t="shared" ca="1" si="182"/>
        <v>0</v>
      </c>
      <c r="R174" s="5">
        <f t="shared" ca="1" si="183"/>
        <v>0</v>
      </c>
      <c r="S174" s="5">
        <f t="shared" ca="1" si="184"/>
        <v>0</v>
      </c>
      <c r="U174" s="100">
        <v>20.5</v>
      </c>
      <c r="V174" s="5">
        <f t="shared" ca="1" si="185"/>
        <v>0</v>
      </c>
      <c r="W174" s="5">
        <f t="shared" ca="1" si="186"/>
        <v>0</v>
      </c>
      <c r="X174" s="5">
        <f t="shared" ca="1" si="187"/>
        <v>0</v>
      </c>
      <c r="Y174" s="5">
        <f t="shared" ca="1" si="188"/>
        <v>0</v>
      </c>
      <c r="CM174" s="13" t="s">
        <v>205</v>
      </c>
      <c r="CN174" s="20">
        <v>39.982439999999997</v>
      </c>
      <c r="CO174" s="20">
        <v>-75.134630000000001</v>
      </c>
      <c r="CP174" s="19">
        <v>0.34499999999999997</v>
      </c>
      <c r="CQ174" s="19">
        <v>0.39300000000000002</v>
      </c>
      <c r="CR174" s="19">
        <v>0.36700000000000005</v>
      </c>
      <c r="CS174" s="19">
        <v>0.33599999999999997</v>
      </c>
      <c r="CT174" s="98">
        <v>279.81666666666666</v>
      </c>
      <c r="CU174" s="98">
        <v>296.48333333333335</v>
      </c>
      <c r="CV174" s="98">
        <v>302.59444444444449</v>
      </c>
      <c r="CW174" s="98">
        <v>286.48333333333335</v>
      </c>
      <c r="CX174" s="104">
        <v>5</v>
      </c>
      <c r="CY174" s="104">
        <v>6</v>
      </c>
      <c r="CZ174" s="104">
        <v>7</v>
      </c>
      <c r="DA174" s="104">
        <v>8</v>
      </c>
      <c r="DB174" s="104">
        <v>2</v>
      </c>
    </row>
    <row r="175" spans="7:106">
      <c r="H175" t="s">
        <v>285</v>
      </c>
      <c r="I175" s="100">
        <v>21.5</v>
      </c>
      <c r="J175" s="5">
        <f t="shared" ca="1" si="177"/>
        <v>0</v>
      </c>
      <c r="K175" s="5">
        <f t="shared" ca="1" si="178"/>
        <v>0</v>
      </c>
      <c r="L175" s="5">
        <f t="shared" ca="1" si="179"/>
        <v>0</v>
      </c>
      <c r="M175" s="5">
        <f t="shared" ca="1" si="180"/>
        <v>0</v>
      </c>
      <c r="O175" s="100">
        <v>21.5</v>
      </c>
      <c r="P175" s="5">
        <f t="shared" ca="1" si="181"/>
        <v>0</v>
      </c>
      <c r="Q175" s="5">
        <f t="shared" ca="1" si="182"/>
        <v>0</v>
      </c>
      <c r="R175" s="5">
        <f t="shared" ca="1" si="183"/>
        <v>0</v>
      </c>
      <c r="S175" s="5">
        <f t="shared" ca="1" si="184"/>
        <v>0</v>
      </c>
      <c r="U175" s="100">
        <v>21.5</v>
      </c>
      <c r="V175" s="5">
        <f t="shared" ca="1" si="185"/>
        <v>0</v>
      </c>
      <c r="W175" s="5">
        <f t="shared" ca="1" si="186"/>
        <v>0</v>
      </c>
      <c r="X175" s="5">
        <f t="shared" ca="1" si="187"/>
        <v>0</v>
      </c>
      <c r="Y175" s="5">
        <f t="shared" ca="1" si="188"/>
        <v>0</v>
      </c>
      <c r="CM175" s="13" t="s">
        <v>206</v>
      </c>
      <c r="CN175" s="20">
        <v>40.432949999999998</v>
      </c>
      <c r="CO175" s="20">
        <v>-79.944029999999998</v>
      </c>
      <c r="CP175" s="19">
        <v>0.47399999999999998</v>
      </c>
      <c r="CQ175" s="19">
        <v>0.42900000000000005</v>
      </c>
      <c r="CR175" s="19">
        <v>0.36899999999999994</v>
      </c>
      <c r="CS175" s="19">
        <v>0.45199999999999996</v>
      </c>
      <c r="CT175" s="98">
        <v>277.59444444444443</v>
      </c>
      <c r="CU175" s="98">
        <v>294.81666666666672</v>
      </c>
      <c r="CV175" s="98">
        <v>300.92777777777781</v>
      </c>
      <c r="CW175" s="98">
        <v>284.81666666666672</v>
      </c>
      <c r="CX175" s="104">
        <v>5</v>
      </c>
      <c r="CY175" s="104">
        <v>6</v>
      </c>
      <c r="CZ175" s="104">
        <v>7</v>
      </c>
      <c r="DA175" s="104">
        <v>8</v>
      </c>
      <c r="DB175" s="104">
        <v>2</v>
      </c>
    </row>
    <row r="176" spans="7:106">
      <c r="H176" t="s">
        <v>286</v>
      </c>
      <c r="I176" s="100">
        <v>22.5</v>
      </c>
      <c r="J176" s="5">
        <f t="shared" ca="1" si="177"/>
        <v>0</v>
      </c>
      <c r="K176" s="5">
        <f t="shared" ca="1" si="178"/>
        <v>0</v>
      </c>
      <c r="L176" s="5">
        <f t="shared" ca="1" si="179"/>
        <v>0</v>
      </c>
      <c r="M176" s="5">
        <f t="shared" ca="1" si="180"/>
        <v>0</v>
      </c>
      <c r="O176" s="100">
        <v>22.5</v>
      </c>
      <c r="P176" s="5">
        <f t="shared" ca="1" si="181"/>
        <v>0</v>
      </c>
      <c r="Q176" s="5">
        <f t="shared" ca="1" si="182"/>
        <v>0</v>
      </c>
      <c r="R176" s="5">
        <f t="shared" ca="1" si="183"/>
        <v>0</v>
      </c>
      <c r="S176" s="5">
        <f t="shared" ca="1" si="184"/>
        <v>0</v>
      </c>
      <c r="U176" s="100">
        <v>22.5</v>
      </c>
      <c r="V176" s="5">
        <f t="shared" ca="1" si="185"/>
        <v>0</v>
      </c>
      <c r="W176" s="5">
        <f t="shared" ca="1" si="186"/>
        <v>0</v>
      </c>
      <c r="X176" s="5">
        <f t="shared" ca="1" si="187"/>
        <v>0</v>
      </c>
      <c r="Y176" s="5">
        <f t="shared" ca="1" si="188"/>
        <v>0</v>
      </c>
      <c r="CM176" s="13" t="s">
        <v>207</v>
      </c>
      <c r="CN176" s="20">
        <v>40.32987</v>
      </c>
      <c r="CO176" s="20">
        <v>-75.932940000000002</v>
      </c>
      <c r="CP176" s="19">
        <v>0.35299999999999998</v>
      </c>
      <c r="CQ176" s="19">
        <v>0.38900000000000001</v>
      </c>
      <c r="CR176" s="19">
        <v>0.35800000000000004</v>
      </c>
      <c r="CS176" s="19">
        <v>0.35599999999999998</v>
      </c>
      <c r="CT176" s="98">
        <v>278.14999999999998</v>
      </c>
      <c r="CU176" s="98">
        <v>295.37222222222226</v>
      </c>
      <c r="CV176" s="98">
        <v>301.48333333333335</v>
      </c>
      <c r="CW176" s="98">
        <v>285.37222222222226</v>
      </c>
      <c r="CX176" s="104">
        <v>5</v>
      </c>
      <c r="CY176" s="104">
        <v>6</v>
      </c>
      <c r="CZ176" s="104">
        <v>7</v>
      </c>
      <c r="DA176" s="104">
        <v>8</v>
      </c>
      <c r="DB176" s="104">
        <v>2</v>
      </c>
    </row>
    <row r="177" spans="8:106">
      <c r="H177" t="s">
        <v>287</v>
      </c>
      <c r="I177" s="100">
        <v>23.5</v>
      </c>
      <c r="J177" s="5">
        <f t="shared" ca="1" si="177"/>
        <v>0</v>
      </c>
      <c r="K177" s="5">
        <f t="shared" ca="1" si="178"/>
        <v>0</v>
      </c>
      <c r="L177" s="5">
        <f t="shared" ca="1" si="179"/>
        <v>0</v>
      </c>
      <c r="M177" s="5">
        <f t="shared" ca="1" si="180"/>
        <v>0</v>
      </c>
      <c r="O177" s="100">
        <v>23.5</v>
      </c>
      <c r="P177" s="5">
        <f t="shared" ca="1" si="181"/>
        <v>0</v>
      </c>
      <c r="Q177" s="5">
        <f t="shared" ca="1" si="182"/>
        <v>0</v>
      </c>
      <c r="R177" s="5">
        <f t="shared" ca="1" si="183"/>
        <v>0</v>
      </c>
      <c r="S177" s="5">
        <f t="shared" ca="1" si="184"/>
        <v>0</v>
      </c>
      <c r="U177" s="100">
        <v>23.5</v>
      </c>
      <c r="V177" s="5">
        <f t="shared" ca="1" si="185"/>
        <v>0</v>
      </c>
      <c r="W177" s="5">
        <f t="shared" ca="1" si="186"/>
        <v>0</v>
      </c>
      <c r="X177" s="5">
        <f t="shared" ca="1" si="187"/>
        <v>0</v>
      </c>
      <c r="Y177" s="5">
        <f t="shared" ca="1" si="188"/>
        <v>0</v>
      </c>
      <c r="CM177" s="13" t="s">
        <v>208</v>
      </c>
      <c r="CN177" s="20">
        <v>41.24297</v>
      </c>
      <c r="CO177" s="20">
        <v>-75.870339999999999</v>
      </c>
      <c r="CP177" s="19">
        <v>0.42499999999999993</v>
      </c>
      <c r="CQ177" s="19">
        <v>0.41300000000000003</v>
      </c>
      <c r="CR177" s="19">
        <v>0.38299999999999995</v>
      </c>
      <c r="CS177" s="19">
        <v>0.44000000000000006</v>
      </c>
      <c r="CT177" s="98">
        <v>276.48333333333335</v>
      </c>
      <c r="CU177" s="98">
        <v>295.37222222222226</v>
      </c>
      <c r="CV177" s="98">
        <v>300.92777777777781</v>
      </c>
      <c r="CW177" s="98">
        <v>283.14999999999998</v>
      </c>
      <c r="CX177" s="104">
        <v>5</v>
      </c>
      <c r="CY177" s="104">
        <v>6</v>
      </c>
      <c r="CZ177" s="104">
        <v>7</v>
      </c>
      <c r="DA177" s="104">
        <v>8</v>
      </c>
      <c r="DB177" s="104">
        <v>2</v>
      </c>
    </row>
    <row r="178" spans="8:106">
      <c r="CM178" s="13" t="s">
        <v>209</v>
      </c>
      <c r="CN178" s="20">
        <v>41.168219999999998</v>
      </c>
      <c r="CO178" s="20">
        <v>-71.578010000000006</v>
      </c>
      <c r="CP178" s="19">
        <v>0.30499999999999994</v>
      </c>
      <c r="CQ178" s="19">
        <v>0.35100000000000003</v>
      </c>
      <c r="CR178" s="19">
        <v>0.35099999999999998</v>
      </c>
      <c r="CS178" s="19">
        <v>0.36999999999999994</v>
      </c>
      <c r="CT178" s="98">
        <v>277.59444444444443</v>
      </c>
      <c r="CU178" s="98">
        <v>289.81666666666672</v>
      </c>
      <c r="CV178" s="98">
        <v>298.15000000000003</v>
      </c>
      <c r="CW178" s="98">
        <v>284.81666666666672</v>
      </c>
      <c r="CX178" s="104">
        <v>5</v>
      </c>
      <c r="CY178" s="104">
        <v>6</v>
      </c>
      <c r="CZ178" s="104">
        <v>7</v>
      </c>
      <c r="DA178" s="104">
        <v>8</v>
      </c>
      <c r="DB178" s="104">
        <v>2</v>
      </c>
    </row>
    <row r="179" spans="8:106">
      <c r="CM179" s="13" t="s">
        <v>210</v>
      </c>
      <c r="CN179" s="20">
        <v>41.810630000000003</v>
      </c>
      <c r="CO179" s="20">
        <v>-71.422210000000007</v>
      </c>
      <c r="CP179" s="19">
        <v>0.31599999999999995</v>
      </c>
      <c r="CQ179" s="19">
        <v>0.39299999999999996</v>
      </c>
      <c r="CR179" s="19">
        <v>0.38900000000000001</v>
      </c>
      <c r="CS179" s="19">
        <v>0.36500000000000005</v>
      </c>
      <c r="CT179" s="98">
        <v>277.59444444444443</v>
      </c>
      <c r="CU179" s="98">
        <v>293.15000000000003</v>
      </c>
      <c r="CV179" s="98">
        <v>300.37222222222226</v>
      </c>
      <c r="CW179" s="98">
        <v>284.81666666666672</v>
      </c>
      <c r="CX179" s="104">
        <v>5</v>
      </c>
      <c r="CY179" s="104">
        <v>6</v>
      </c>
      <c r="CZ179" s="104">
        <v>7</v>
      </c>
      <c r="DA179" s="104">
        <v>8</v>
      </c>
      <c r="DB179" s="104">
        <v>2</v>
      </c>
    </row>
    <row r="180" spans="8:106">
      <c r="O180" s="170" t="s">
        <v>483</v>
      </c>
      <c r="P180" s="170"/>
      <c r="Q180" s="170"/>
      <c r="R180" s="170"/>
      <c r="S180" s="170"/>
      <c r="CM180" s="13" t="s">
        <v>211</v>
      </c>
      <c r="CN180" s="20">
        <v>32.733519999999999</v>
      </c>
      <c r="CO180" s="20">
        <v>-79.989909999999995</v>
      </c>
      <c r="CP180" s="19">
        <v>0.29300000000000004</v>
      </c>
      <c r="CQ180" s="19">
        <v>0.32100000000000001</v>
      </c>
      <c r="CR180" s="19">
        <v>0.41299999999999992</v>
      </c>
      <c r="CS180" s="19">
        <v>0.29899999999999999</v>
      </c>
      <c r="CT180" s="98">
        <v>290.37222222222226</v>
      </c>
      <c r="CU180" s="98">
        <v>301.48333333333335</v>
      </c>
      <c r="CV180" s="98">
        <v>304.81666666666672</v>
      </c>
      <c r="CW180" s="98">
        <v>294.26111111111112</v>
      </c>
      <c r="CX180" s="104">
        <v>5</v>
      </c>
      <c r="CY180" s="104">
        <v>6</v>
      </c>
      <c r="CZ180" s="104">
        <v>7</v>
      </c>
      <c r="DA180" s="104">
        <v>8</v>
      </c>
      <c r="DB180" s="104">
        <v>2</v>
      </c>
    </row>
    <row r="181" spans="8:106">
      <c r="O181" s="99" t="s">
        <v>289</v>
      </c>
      <c r="P181" s="99" t="s">
        <v>0</v>
      </c>
      <c r="Q181" s="99" t="s">
        <v>3</v>
      </c>
      <c r="R181" s="99" t="s">
        <v>4</v>
      </c>
      <c r="S181" s="99" t="s">
        <v>5</v>
      </c>
      <c r="CM181" s="13" t="s">
        <v>212</v>
      </c>
      <c r="CN181" s="20">
        <v>34.018090000000001</v>
      </c>
      <c r="CO181" s="20">
        <v>-81.030990000000003</v>
      </c>
      <c r="CP181" s="19">
        <v>0.29600000000000004</v>
      </c>
      <c r="CQ181" s="19">
        <v>0.31500000000000006</v>
      </c>
      <c r="CR181" s="19">
        <v>0.35300000000000004</v>
      </c>
      <c r="CS181" s="19">
        <v>0.25</v>
      </c>
      <c r="CT181" s="98">
        <v>290.37222222222226</v>
      </c>
      <c r="CU181" s="98">
        <v>303.70555555555558</v>
      </c>
      <c r="CV181" s="98">
        <v>307.03888888888895</v>
      </c>
      <c r="CW181" s="98">
        <v>293.70555555555558</v>
      </c>
      <c r="CX181" s="104">
        <v>5</v>
      </c>
      <c r="CY181" s="104">
        <v>6</v>
      </c>
      <c r="CZ181" s="104">
        <v>7</v>
      </c>
      <c r="DA181" s="104">
        <v>8</v>
      </c>
      <c r="DB181" s="104">
        <v>2</v>
      </c>
    </row>
    <row r="182" spans="8:106">
      <c r="O182" s="100">
        <v>0.5</v>
      </c>
      <c r="P182" s="5">
        <f ca="1">$D$9*$D$45*$D$58*(V98 + $D$60*V126 + $D$62*V154)*$D$18</f>
        <v>0</v>
      </c>
      <c r="Q182" s="5">
        <f ca="1">$D$9*$D$46*$D$58*(W98 + $D$61*W126 + $D$63*W154)*$D$18</f>
        <v>0</v>
      </c>
      <c r="R182" s="5">
        <f ca="1">$D$9*$D$47*$D$58*(X98 + $D$61*X126 + $D$63*X154)*$D$18</f>
        <v>0</v>
      </c>
      <c r="S182" s="5">
        <f ca="1">$D$9*$D$48*$D$58*(Y98 + $D$60*Y126 + $D$62*Y154)*$D$18</f>
        <v>0</v>
      </c>
      <c r="CM182" s="13" t="s">
        <v>213</v>
      </c>
      <c r="CN182" s="20">
        <v>34.854559999999999</v>
      </c>
      <c r="CO182" s="20">
        <v>-82.395790000000005</v>
      </c>
      <c r="CP182" s="19">
        <v>0.30599999999999994</v>
      </c>
      <c r="CQ182" s="19">
        <v>0.35400000000000009</v>
      </c>
      <c r="CR182" s="19">
        <v>0.37299999999999994</v>
      </c>
      <c r="CS182" s="19">
        <v>0.26100000000000001</v>
      </c>
      <c r="CT182" s="98">
        <v>288.15000000000003</v>
      </c>
      <c r="CU182" s="98">
        <v>300.92777777777781</v>
      </c>
      <c r="CV182" s="98">
        <v>305.37222222222226</v>
      </c>
      <c r="CW182" s="98">
        <v>291.48333333333335</v>
      </c>
      <c r="CX182" s="104">
        <v>5</v>
      </c>
      <c r="CY182" s="104">
        <v>6</v>
      </c>
      <c r="CZ182" s="104">
        <v>7</v>
      </c>
      <c r="DA182" s="104">
        <v>8</v>
      </c>
      <c r="DB182" s="104">
        <v>2</v>
      </c>
    </row>
    <row r="183" spans="8:106">
      <c r="O183" s="100">
        <v>1.5</v>
      </c>
      <c r="P183" s="5">
        <f t="shared" ref="P183:P205" ca="1" si="189">$D$9*$D$45*$D$58*(V99 + $D$60*V127 + $D$62*V155)*$D$18</f>
        <v>0</v>
      </c>
      <c r="Q183" s="5">
        <f t="shared" ref="Q183:Q205" ca="1" si="190">$D$9*$D$46*$D$58*(W99 + $D$61*W127 + $D$63*W155)*$D$18</f>
        <v>0</v>
      </c>
      <c r="R183" s="5">
        <f t="shared" ref="R183:R205" ca="1" si="191">$D$9*$D$47*$D$58*(X99 + $D$61*X127 + $D$63*X155)*$D$18</f>
        <v>0</v>
      </c>
      <c r="S183" s="5">
        <f t="shared" ref="S183:S205" ca="1" si="192">$D$9*$D$48*$D$58*(Y99 + $D$60*Y127 + $D$62*Y155)*$D$18</f>
        <v>0</v>
      </c>
      <c r="CM183" s="13" t="s">
        <v>214</v>
      </c>
      <c r="CN183" s="20">
        <v>44.36056</v>
      </c>
      <c r="CO183" s="20">
        <v>-98.231449999999995</v>
      </c>
      <c r="CP183" s="19">
        <v>0.26999999999999996</v>
      </c>
      <c r="CQ183" s="19">
        <v>0.37000000000000005</v>
      </c>
      <c r="CR183" s="19">
        <v>0.33100000000000002</v>
      </c>
      <c r="CS183" s="19">
        <v>0.30499999999999994</v>
      </c>
      <c r="CT183" s="98">
        <v>273.14999999999998</v>
      </c>
      <c r="CU183" s="98">
        <v>294.26111111111112</v>
      </c>
      <c r="CV183" s="98">
        <v>302.03888888888895</v>
      </c>
      <c r="CW183" s="98">
        <v>279.26111111111112</v>
      </c>
      <c r="CX183" s="104">
        <v>1</v>
      </c>
      <c r="CY183" s="104">
        <v>2</v>
      </c>
      <c r="CZ183" s="104">
        <v>3</v>
      </c>
      <c r="DA183" s="104">
        <v>4</v>
      </c>
      <c r="DB183" s="104">
        <v>1</v>
      </c>
    </row>
    <row r="184" spans="8:106">
      <c r="O184" s="100">
        <v>2.5</v>
      </c>
      <c r="P184" s="5">
        <f t="shared" ca="1" si="189"/>
        <v>0</v>
      </c>
      <c r="Q184" s="5">
        <f t="shared" ca="1" si="190"/>
        <v>0</v>
      </c>
      <c r="R184" s="5">
        <f t="shared" ca="1" si="191"/>
        <v>0</v>
      </c>
      <c r="S184" s="5">
        <f t="shared" ca="1" si="192"/>
        <v>0</v>
      </c>
      <c r="CM184" s="13" t="s">
        <v>215</v>
      </c>
      <c r="CN184" s="20">
        <v>44.069319999999998</v>
      </c>
      <c r="CO184" s="20">
        <v>-103.24748</v>
      </c>
      <c r="CP184" s="19">
        <v>0.26599999999999996</v>
      </c>
      <c r="CQ184" s="19">
        <v>0.39099999999999996</v>
      </c>
      <c r="CR184" s="19">
        <v>0.313</v>
      </c>
      <c r="CS184" s="19">
        <v>0.26800000000000002</v>
      </c>
      <c r="CT184" s="98">
        <v>277.03888888888889</v>
      </c>
      <c r="CU184" s="98">
        <v>292.03888888888895</v>
      </c>
      <c r="CV184" s="98">
        <v>302.03888888888895</v>
      </c>
      <c r="CW184" s="98">
        <v>281.48333333333335</v>
      </c>
      <c r="CX184" s="104">
        <v>1</v>
      </c>
      <c r="CY184" s="104">
        <v>2</v>
      </c>
      <c r="CZ184" s="104">
        <v>3</v>
      </c>
      <c r="DA184" s="104">
        <v>4</v>
      </c>
      <c r="DB184" s="104">
        <v>1</v>
      </c>
    </row>
    <row r="185" spans="8:106">
      <c r="O185" s="100">
        <v>3.5</v>
      </c>
      <c r="P185" s="5">
        <f t="shared" ca="1" si="189"/>
        <v>0</v>
      </c>
      <c r="Q185" s="5">
        <f t="shared" ca="1" si="190"/>
        <v>0</v>
      </c>
      <c r="R185" s="5">
        <f t="shared" ca="1" si="191"/>
        <v>0</v>
      </c>
      <c r="S185" s="5">
        <f t="shared" ca="1" si="192"/>
        <v>0</v>
      </c>
      <c r="CM185" s="13" t="s">
        <v>216</v>
      </c>
      <c r="CN185" s="20">
        <v>35.034849999999999</v>
      </c>
      <c r="CO185" s="20">
        <f>-85.28986</f>
        <v>-85.289860000000004</v>
      </c>
      <c r="CP185" s="19">
        <v>0.36199999999999999</v>
      </c>
      <c r="CQ185" s="19">
        <v>0.3570000000000001</v>
      </c>
      <c r="CR185" s="19">
        <v>0.35100000000000003</v>
      </c>
      <c r="CS185" s="19">
        <v>0.30300000000000005</v>
      </c>
      <c r="CT185" s="98">
        <v>285.92777777777781</v>
      </c>
      <c r="CU185" s="98">
        <v>299.81666666666672</v>
      </c>
      <c r="CV185" s="98">
        <v>305.37222222222226</v>
      </c>
      <c r="CW185" s="98">
        <v>289.81666666666672</v>
      </c>
      <c r="CX185" s="104">
        <v>5</v>
      </c>
      <c r="CY185" s="104">
        <v>6</v>
      </c>
      <c r="CZ185" s="104">
        <v>7</v>
      </c>
      <c r="DA185" s="104">
        <v>8</v>
      </c>
      <c r="DB185" s="104">
        <v>2</v>
      </c>
    </row>
    <row r="186" spans="8:106">
      <c r="O186" s="100">
        <v>4.5</v>
      </c>
      <c r="P186" s="5">
        <f t="shared" ca="1" si="189"/>
        <v>0</v>
      </c>
      <c r="Q186" s="5">
        <f t="shared" ca="1" si="190"/>
        <v>0</v>
      </c>
      <c r="R186" s="5">
        <f t="shared" ca="1" si="191"/>
        <v>0</v>
      </c>
      <c r="S186" s="5">
        <f t="shared" ca="1" si="192"/>
        <v>0</v>
      </c>
      <c r="CM186" s="13" t="s">
        <v>217</v>
      </c>
      <c r="CN186" s="20">
        <v>35.974600000000002</v>
      </c>
      <c r="CO186" s="20">
        <v>-83.926670000000001</v>
      </c>
      <c r="CP186" s="19">
        <v>0.371</v>
      </c>
      <c r="CQ186" s="19">
        <v>0.35300000000000009</v>
      </c>
      <c r="CR186" s="19">
        <v>0.33800000000000002</v>
      </c>
      <c r="CS186" s="19">
        <v>0.31200000000000006</v>
      </c>
      <c r="CT186" s="98">
        <v>284.26111111111112</v>
      </c>
      <c r="CU186" s="98">
        <v>298.70555555555558</v>
      </c>
      <c r="CV186" s="98">
        <v>303.70555555555558</v>
      </c>
      <c r="CW186" s="98">
        <v>288.70555555555558</v>
      </c>
      <c r="CX186" s="104">
        <v>5</v>
      </c>
      <c r="CY186" s="104">
        <v>6</v>
      </c>
      <c r="CZ186" s="104">
        <v>7</v>
      </c>
      <c r="DA186" s="104">
        <v>8</v>
      </c>
      <c r="DB186" s="104">
        <v>2</v>
      </c>
    </row>
    <row r="187" spans="8:106">
      <c r="O187" s="100">
        <v>5.5</v>
      </c>
      <c r="P187" s="5">
        <f t="shared" ca="1" si="189"/>
        <v>0</v>
      </c>
      <c r="Q187" s="5">
        <f t="shared" ca="1" si="190"/>
        <v>5.2553506018990568</v>
      </c>
      <c r="R187" s="5">
        <f t="shared" ca="1" si="191"/>
        <v>3.3124223351740198</v>
      </c>
      <c r="S187" s="5">
        <f t="shared" ca="1" si="192"/>
        <v>0</v>
      </c>
      <c r="CM187" s="13" t="s">
        <v>218</v>
      </c>
      <c r="CN187" s="20">
        <v>35.145290000000003</v>
      </c>
      <c r="CO187" s="20">
        <v>-89.98903</v>
      </c>
      <c r="CP187" s="19">
        <v>0.34099999999999997</v>
      </c>
      <c r="CQ187" s="19">
        <v>0.32900000000000007</v>
      </c>
      <c r="CR187" s="19">
        <v>0.27300000000000002</v>
      </c>
      <c r="CS187" s="19">
        <v>0.26900000000000002</v>
      </c>
      <c r="CT187" s="98">
        <v>285.92777777777781</v>
      </c>
      <c r="CU187" s="98">
        <v>300.37222222222226</v>
      </c>
      <c r="CV187" s="98">
        <v>305.92777777777781</v>
      </c>
      <c r="CW187" s="98">
        <v>290.37222222222226</v>
      </c>
      <c r="CX187" s="104">
        <v>5</v>
      </c>
      <c r="CY187" s="104">
        <v>6</v>
      </c>
      <c r="CZ187" s="104">
        <v>7</v>
      </c>
      <c r="DA187" s="104">
        <v>8</v>
      </c>
      <c r="DB187" s="104">
        <v>2</v>
      </c>
    </row>
    <row r="188" spans="8:106">
      <c r="O188" s="100">
        <v>6.5</v>
      </c>
      <c r="P188" s="5">
        <f t="shared" ca="1" si="189"/>
        <v>0</v>
      </c>
      <c r="Q188" s="5">
        <f t="shared" ca="1" si="190"/>
        <v>17.837078279392841</v>
      </c>
      <c r="R188" s="5">
        <f t="shared" ca="1" si="191"/>
        <v>14.527442437155372</v>
      </c>
      <c r="S188" s="5">
        <f t="shared" ca="1" si="192"/>
        <v>0.22724698481962685</v>
      </c>
      <c r="CM188" s="13" t="s">
        <v>219</v>
      </c>
      <c r="CN188" s="20">
        <v>36.175370000000001</v>
      </c>
      <c r="CO188" s="20">
        <v>-86.732079999999996</v>
      </c>
      <c r="CP188" s="19">
        <v>0.375</v>
      </c>
      <c r="CQ188" s="19">
        <v>0.34900000000000009</v>
      </c>
      <c r="CR188" s="19">
        <v>0.30399999999999999</v>
      </c>
      <c r="CS188" s="19">
        <v>0.30900000000000005</v>
      </c>
      <c r="CT188" s="98">
        <v>284.26111111111112</v>
      </c>
      <c r="CU188" s="98">
        <v>298.70555555555558</v>
      </c>
      <c r="CV188" s="98">
        <v>304.81666666666672</v>
      </c>
      <c r="CW188" s="98">
        <v>288.70555555555558</v>
      </c>
      <c r="CX188" s="104">
        <v>5</v>
      </c>
      <c r="CY188" s="104">
        <v>6</v>
      </c>
      <c r="CZ188" s="104">
        <v>7</v>
      </c>
      <c r="DA188" s="104">
        <v>8</v>
      </c>
      <c r="DB188" s="104">
        <v>2</v>
      </c>
    </row>
    <row r="189" spans="8:106">
      <c r="O189" s="100">
        <v>7.5</v>
      </c>
      <c r="P189" s="5">
        <f t="shared" ca="1" si="189"/>
        <v>2.1381273088213257</v>
      </c>
      <c r="Q189" s="5">
        <f t="shared" ca="1" si="190"/>
        <v>34.160668536737788</v>
      </c>
      <c r="R189" s="5">
        <f t="shared" ca="1" si="191"/>
        <v>29.264907442430459</v>
      </c>
      <c r="S189" s="5">
        <f t="shared" ca="1" si="192"/>
        <v>7.4870957825387316</v>
      </c>
      <c r="CM189" s="13" t="s">
        <v>220</v>
      </c>
      <c r="CN189" s="20">
        <v>32.43927</v>
      </c>
      <c r="CO189" s="20">
        <v>-99.695189999999997</v>
      </c>
      <c r="CP189" s="19">
        <v>0.20300000000000001</v>
      </c>
      <c r="CQ189" s="19">
        <v>0.29199999999999998</v>
      </c>
      <c r="CR189" s="19">
        <v>0.316</v>
      </c>
      <c r="CS189" s="19">
        <v>0.19</v>
      </c>
      <c r="CT189" s="98">
        <v>288.70555555555558</v>
      </c>
      <c r="CU189" s="98">
        <v>302.59444444444449</v>
      </c>
      <c r="CV189" s="98">
        <v>307.59444444444449</v>
      </c>
      <c r="CW189" s="98">
        <v>292.03888888888895</v>
      </c>
      <c r="CX189" s="104">
        <v>1</v>
      </c>
      <c r="CY189" s="104">
        <v>2</v>
      </c>
      <c r="CZ189" s="104">
        <v>3</v>
      </c>
      <c r="DA189" s="104">
        <v>4</v>
      </c>
      <c r="DB189" s="104">
        <v>1</v>
      </c>
    </row>
    <row r="190" spans="8:106">
      <c r="O190" s="100">
        <v>8.5</v>
      </c>
      <c r="P190" s="5">
        <f t="shared" ca="1" si="189"/>
        <v>15.277043613043363</v>
      </c>
      <c r="Q190" s="5">
        <f t="shared" ca="1" si="190"/>
        <v>50.498102801336437</v>
      </c>
      <c r="R190" s="5">
        <f t="shared" ca="1" si="191"/>
        <v>43.511358167330457</v>
      </c>
      <c r="S190" s="5">
        <f t="shared" ca="1" si="192"/>
        <v>17.296852176828526</v>
      </c>
      <c r="CM190" s="13" t="s">
        <v>221</v>
      </c>
      <c r="CN190" s="20">
        <v>35.21837</v>
      </c>
      <c r="CO190" s="20">
        <v>-101.8537</v>
      </c>
      <c r="CP190" s="19">
        <v>0.13400000000000001</v>
      </c>
      <c r="CQ190" s="19">
        <v>0.252</v>
      </c>
      <c r="CR190" s="19">
        <v>0.29000000000000004</v>
      </c>
      <c r="CS190" s="19">
        <v>0.14199999999999996</v>
      </c>
      <c r="CT190" s="98">
        <v>285.37222222222226</v>
      </c>
      <c r="CU190" s="98">
        <v>299.81666666666672</v>
      </c>
      <c r="CV190" s="98">
        <v>304.81666666666672</v>
      </c>
      <c r="CW190" s="98">
        <v>288.70555555555558</v>
      </c>
      <c r="CX190" s="104">
        <v>1</v>
      </c>
      <c r="CY190" s="104">
        <v>2</v>
      </c>
      <c r="CZ190" s="104">
        <v>3</v>
      </c>
      <c r="DA190" s="104">
        <v>4</v>
      </c>
      <c r="DB190" s="104">
        <v>1</v>
      </c>
    </row>
    <row r="191" spans="8:106">
      <c r="O191" s="100">
        <v>9.5</v>
      </c>
      <c r="P191" s="5">
        <f t="shared" ca="1" si="189"/>
        <v>31.908393403211367</v>
      </c>
      <c r="Q191" s="5">
        <f t="shared" ca="1" si="190"/>
        <v>63.480161079524734</v>
      </c>
      <c r="R191" s="5">
        <f t="shared" ca="1" si="191"/>
        <v>56.340912332284539</v>
      </c>
      <c r="S191" s="5">
        <f t="shared" ca="1" si="192"/>
        <v>31.809463364463777</v>
      </c>
      <c r="CM191" s="13" t="s">
        <v>222</v>
      </c>
      <c r="CN191" s="20">
        <v>30.261289999999999</v>
      </c>
      <c r="CO191" s="20">
        <v>-97.753619999999998</v>
      </c>
      <c r="CP191" s="19">
        <v>0.33399999999999996</v>
      </c>
      <c r="CQ191" s="19">
        <v>0.36</v>
      </c>
      <c r="CR191" s="19">
        <v>0.26500000000000001</v>
      </c>
      <c r="CS191" s="19">
        <v>0.28900000000000003</v>
      </c>
      <c r="CT191" s="98">
        <v>291.48333333333335</v>
      </c>
      <c r="CU191" s="98">
        <v>303.70555555555558</v>
      </c>
      <c r="CV191" s="98">
        <v>309.26111111111112</v>
      </c>
      <c r="CW191" s="98">
        <v>294.81666666666672</v>
      </c>
      <c r="CX191" s="104">
        <v>5</v>
      </c>
      <c r="CY191" s="104">
        <v>6</v>
      </c>
      <c r="CZ191" s="104">
        <v>7</v>
      </c>
      <c r="DA191" s="104">
        <v>8</v>
      </c>
      <c r="DB191" s="104">
        <v>2</v>
      </c>
    </row>
    <row r="192" spans="8:106">
      <c r="O192" s="100">
        <v>10.5</v>
      </c>
      <c r="P192" s="5">
        <f t="shared" ca="1" si="189"/>
        <v>45.306509036164009</v>
      </c>
      <c r="Q192" s="5">
        <f t="shared" ca="1" si="190"/>
        <v>73.018812491389497</v>
      </c>
      <c r="R192" s="5">
        <f t="shared" ca="1" si="191"/>
        <v>65.405716861340309</v>
      </c>
      <c r="S192" s="5">
        <f t="shared" ca="1" si="192"/>
        <v>40.964538352196861</v>
      </c>
      <c r="CM192" s="17" t="s">
        <v>223</v>
      </c>
      <c r="CN192" s="20">
        <v>26.004960000000001</v>
      </c>
      <c r="CO192" s="20">
        <v>-97.517949999999999</v>
      </c>
      <c r="CP192" s="19">
        <v>0.38800000000000001</v>
      </c>
      <c r="CQ192" s="19">
        <v>0.36600000000000005</v>
      </c>
      <c r="CR192" s="19">
        <v>0.31799999999999995</v>
      </c>
      <c r="CS192" s="19">
        <v>0.37199999999999994</v>
      </c>
      <c r="CT192" s="98">
        <v>296.48333333333335</v>
      </c>
      <c r="CU192" s="98">
        <v>304.26111111111112</v>
      </c>
      <c r="CV192" s="98">
        <v>307.59444444444449</v>
      </c>
      <c r="CW192" s="98">
        <v>299.26111111111112</v>
      </c>
      <c r="CX192" s="104">
        <v>5</v>
      </c>
      <c r="CY192" s="104">
        <v>6</v>
      </c>
      <c r="CZ192" s="104">
        <v>7</v>
      </c>
      <c r="DA192" s="104">
        <v>8</v>
      </c>
      <c r="DB192" s="104">
        <v>2</v>
      </c>
    </row>
    <row r="193" spans="15:106">
      <c r="O193" s="100">
        <v>11.5</v>
      </c>
      <c r="P193" s="5">
        <f t="shared" ca="1" si="189"/>
        <v>51.288323685266761</v>
      </c>
      <c r="Q193" s="5">
        <f t="shared" ca="1" si="190"/>
        <v>76.930318199959089</v>
      </c>
      <c r="R193" s="5">
        <f t="shared" ca="1" si="191"/>
        <v>69.532031388118938</v>
      </c>
      <c r="S193" s="5">
        <f t="shared" ca="1" si="192"/>
        <v>43.241343034601428</v>
      </c>
      <c r="CM193" s="13" t="s">
        <v>224</v>
      </c>
      <c r="CN193" s="20">
        <v>27.73433</v>
      </c>
      <c r="CO193" s="20">
        <v>-97.418300000000002</v>
      </c>
      <c r="CP193" s="19">
        <v>0.36499999999999999</v>
      </c>
      <c r="CQ193" s="19">
        <v>0.36699999999999994</v>
      </c>
      <c r="CR193" s="19">
        <v>0.28900000000000003</v>
      </c>
      <c r="CS193" s="19">
        <v>0.34200000000000003</v>
      </c>
      <c r="CT193" s="98">
        <v>294.26111111111112</v>
      </c>
      <c r="CU193" s="98">
        <v>303.70555555555558</v>
      </c>
      <c r="CV193" s="98">
        <v>307.59444444444449</v>
      </c>
      <c r="CW193" s="98">
        <v>297.59444444444449</v>
      </c>
      <c r="CX193" s="104">
        <v>5</v>
      </c>
      <c r="CY193" s="104">
        <v>6</v>
      </c>
      <c r="CZ193" s="104">
        <v>7</v>
      </c>
      <c r="DA193" s="104">
        <v>8</v>
      </c>
      <c r="DB193" s="104">
        <v>2</v>
      </c>
    </row>
    <row r="194" spans="15:106">
      <c r="O194" s="100">
        <v>12.5</v>
      </c>
      <c r="P194" s="5">
        <f t="shared" ca="1" si="189"/>
        <v>50.866763743932651</v>
      </c>
      <c r="Q194" s="5">
        <f t="shared" ca="1" si="190"/>
        <v>74.380585362948523</v>
      </c>
      <c r="R194" s="5">
        <f t="shared" ca="1" si="191"/>
        <v>68.432020350597284</v>
      </c>
      <c r="S194" s="5">
        <f t="shared" ca="1" si="192"/>
        <v>37.173991957084816</v>
      </c>
      <c r="CM194" s="13" t="s">
        <v>225</v>
      </c>
      <c r="CN194" s="20">
        <v>32.77317</v>
      </c>
      <c r="CO194" s="20">
        <v>-96.818460000000002</v>
      </c>
      <c r="CP194" s="19">
        <v>0.29100000000000004</v>
      </c>
      <c r="CQ194" s="19">
        <v>0.31000000000000005</v>
      </c>
      <c r="CR194" s="19">
        <v>0.21699999999999997</v>
      </c>
      <c r="CS194" s="19">
        <v>0.24</v>
      </c>
      <c r="CT194" s="98">
        <v>289.26111111111112</v>
      </c>
      <c r="CU194" s="98">
        <v>302.03888888888895</v>
      </c>
      <c r="CV194" s="98">
        <v>308.70555555555558</v>
      </c>
      <c r="CW194" s="98">
        <v>293.15000000000003</v>
      </c>
      <c r="CX194" s="104">
        <v>5</v>
      </c>
      <c r="CY194" s="104">
        <v>6</v>
      </c>
      <c r="CZ194" s="104">
        <v>7</v>
      </c>
      <c r="DA194" s="104">
        <v>8</v>
      </c>
      <c r="DB194" s="104">
        <v>2</v>
      </c>
    </row>
    <row r="195" spans="15:106">
      <c r="O195" s="100">
        <v>13.5</v>
      </c>
      <c r="P195" s="5">
        <f t="shared" ca="1" si="189"/>
        <v>43.315984543668137</v>
      </c>
      <c r="Q195" s="5">
        <f t="shared" ca="1" si="190"/>
        <v>66.860027799486801</v>
      </c>
      <c r="R195" s="5">
        <f t="shared" ca="1" si="191"/>
        <v>62.09498982370696</v>
      </c>
      <c r="S195" s="5">
        <f t="shared" ca="1" si="192"/>
        <v>30.913054838651732</v>
      </c>
      <c r="CM195" s="13" t="s">
        <v>226</v>
      </c>
      <c r="CN195" s="20">
        <v>29.37237</v>
      </c>
      <c r="CO195" s="20">
        <v>-100.88439</v>
      </c>
      <c r="CP195" s="19">
        <v>0.192</v>
      </c>
      <c r="CQ195" s="19">
        <v>0.32300000000000001</v>
      </c>
      <c r="CR195" s="19">
        <v>0.311</v>
      </c>
      <c r="CS195" s="19">
        <v>0.21899999999999997</v>
      </c>
      <c r="CT195" s="98">
        <v>293.70555555555558</v>
      </c>
      <c r="CU195" s="98">
        <v>305.37222222222226</v>
      </c>
      <c r="CV195" s="98">
        <v>309.26111111111112</v>
      </c>
      <c r="CW195" s="98">
        <v>295.37222222222226</v>
      </c>
      <c r="CX195" s="104">
        <v>1</v>
      </c>
      <c r="CY195" s="104">
        <v>2</v>
      </c>
      <c r="CZ195" s="104">
        <v>3</v>
      </c>
      <c r="DA195" s="104">
        <v>4</v>
      </c>
      <c r="DB195" s="104">
        <v>1</v>
      </c>
    </row>
    <row r="196" spans="15:106">
      <c r="O196" s="100">
        <v>14.5</v>
      </c>
      <c r="P196" s="5">
        <f t="shared" ca="1" si="189"/>
        <v>29.041893612927062</v>
      </c>
      <c r="Q196" s="5">
        <f t="shared" ca="1" si="190"/>
        <v>53.934166818952022</v>
      </c>
      <c r="R196" s="5">
        <f t="shared" ca="1" si="191"/>
        <v>51.25509429825825</v>
      </c>
      <c r="S196" s="5">
        <f t="shared" ca="1" si="192"/>
        <v>18.225327802063031</v>
      </c>
      <c r="CM196" s="13" t="s">
        <v>227</v>
      </c>
      <c r="CN196" s="20">
        <v>31.838830000000002</v>
      </c>
      <c r="CO196" s="20">
        <v>-106.48774</v>
      </c>
      <c r="CP196" s="19">
        <v>0.1</v>
      </c>
      <c r="CQ196" s="19">
        <v>0.1</v>
      </c>
      <c r="CR196" s="19">
        <v>0.27</v>
      </c>
      <c r="CS196" s="19">
        <v>0.1</v>
      </c>
      <c r="CT196" s="98">
        <v>290.37222222222226</v>
      </c>
      <c r="CU196" s="98">
        <v>304.26111111111112</v>
      </c>
      <c r="CV196" s="98">
        <v>306.48333333333335</v>
      </c>
      <c r="CW196" s="98">
        <v>292.03888888888895</v>
      </c>
      <c r="CX196" s="104">
        <v>1</v>
      </c>
      <c r="CY196" s="104">
        <v>2</v>
      </c>
      <c r="CZ196" s="104">
        <v>3</v>
      </c>
      <c r="DA196" s="104">
        <v>4</v>
      </c>
      <c r="DB196" s="104">
        <v>1</v>
      </c>
    </row>
    <row r="197" spans="15:106">
      <c r="O197" s="100">
        <v>15.5</v>
      </c>
      <c r="P197" s="5">
        <f t="shared" ca="1" si="189"/>
        <v>13.060084268239407</v>
      </c>
      <c r="Q197" s="5">
        <f t="shared" ca="1" si="190"/>
        <v>38.604243905925536</v>
      </c>
      <c r="R197" s="5">
        <f t="shared" ca="1" si="191"/>
        <v>37.563198745620511</v>
      </c>
      <c r="S197" s="5">
        <f t="shared" ca="1" si="192"/>
        <v>5.2262022635490348</v>
      </c>
      <c r="CM197" s="13" t="s">
        <v>228</v>
      </c>
      <c r="CN197" s="20">
        <v>32.76052</v>
      </c>
      <c r="CO197" s="20">
        <v>-97.275630000000007</v>
      </c>
      <c r="CP197" s="19">
        <v>0.28200000000000003</v>
      </c>
      <c r="CQ197" s="19">
        <v>0.29800000000000004</v>
      </c>
      <c r="CR197" s="19">
        <v>0.21200000000000002</v>
      </c>
      <c r="CS197" s="19">
        <v>0.23899999999999999</v>
      </c>
      <c r="CT197" s="98">
        <v>288.70555555555558</v>
      </c>
      <c r="CU197" s="98">
        <v>301.48333333333335</v>
      </c>
      <c r="CV197" s="98">
        <v>309.26111111111112</v>
      </c>
      <c r="CW197" s="98">
        <v>292.59444444444449</v>
      </c>
      <c r="CX197" s="104">
        <v>5</v>
      </c>
      <c r="CY197" s="104">
        <v>6</v>
      </c>
      <c r="CZ197" s="104">
        <v>7</v>
      </c>
      <c r="DA197" s="104">
        <v>8</v>
      </c>
      <c r="DB197" s="104">
        <v>2</v>
      </c>
    </row>
    <row r="198" spans="15:106">
      <c r="O198" s="100">
        <v>16.5</v>
      </c>
      <c r="P198" s="5">
        <f t="shared" ca="1" si="189"/>
        <v>1.3057969951914588</v>
      </c>
      <c r="Q198" s="5">
        <f t="shared" ca="1" si="190"/>
        <v>22.112741337176157</v>
      </c>
      <c r="R198" s="5">
        <f t="shared" ca="1" si="191"/>
        <v>22.506598663118684</v>
      </c>
      <c r="S198" s="5">
        <f t="shared" ca="1" si="192"/>
        <v>0</v>
      </c>
      <c r="CM198" s="13" t="s">
        <v>229</v>
      </c>
      <c r="CN198" s="20">
        <v>29.19379</v>
      </c>
      <c r="CO198" s="20">
        <v>-94.966049999999996</v>
      </c>
      <c r="CP198" s="19">
        <v>0.32499999999999996</v>
      </c>
      <c r="CQ198" s="19">
        <v>0.27899999999999997</v>
      </c>
      <c r="CR198" s="19">
        <v>0.28000000000000003</v>
      </c>
      <c r="CS198" s="19">
        <v>0.28199999999999997</v>
      </c>
      <c r="CT198" s="98">
        <v>290.92777777777781</v>
      </c>
      <c r="CU198" s="98">
        <v>300.37222222222226</v>
      </c>
      <c r="CV198" s="98">
        <v>304.81666666666672</v>
      </c>
      <c r="CW198" s="98">
        <v>294.81666666666672</v>
      </c>
      <c r="CX198" s="104">
        <v>5</v>
      </c>
      <c r="CY198" s="104">
        <v>6</v>
      </c>
      <c r="CZ198" s="104">
        <v>7</v>
      </c>
      <c r="DA198" s="104">
        <v>8</v>
      </c>
      <c r="DB198" s="104">
        <v>2</v>
      </c>
    </row>
    <row r="199" spans="15:106">
      <c r="O199" s="100">
        <v>17.5</v>
      </c>
      <c r="P199" s="5">
        <f t="shared" ca="1" si="189"/>
        <v>0</v>
      </c>
      <c r="Q199" s="5">
        <f t="shared" ca="1" si="190"/>
        <v>7.7089931011860253</v>
      </c>
      <c r="R199" s="5">
        <f t="shared" ca="1" si="191"/>
        <v>8.8542484681067073</v>
      </c>
      <c r="S199" s="5">
        <f t="shared" ca="1" si="192"/>
        <v>0</v>
      </c>
      <c r="CM199" s="13" t="s">
        <v>230</v>
      </c>
      <c r="CN199" s="20">
        <v>29.76849</v>
      </c>
      <c r="CO199" s="20">
        <v>-95.441959999999995</v>
      </c>
      <c r="CP199" s="19">
        <v>0.36199999999999999</v>
      </c>
      <c r="CQ199" s="19">
        <v>0.36299999999999999</v>
      </c>
      <c r="CR199" s="19">
        <v>0.33</v>
      </c>
      <c r="CS199" s="19">
        <v>0.30800000000000005</v>
      </c>
      <c r="CT199" s="98">
        <v>291.48333333333335</v>
      </c>
      <c r="CU199" s="98">
        <v>302.03888888888895</v>
      </c>
      <c r="CV199" s="98">
        <v>307.03888888888895</v>
      </c>
      <c r="CW199" s="98">
        <v>294.81666666666672</v>
      </c>
      <c r="CX199" s="104">
        <v>5</v>
      </c>
      <c r="CY199" s="104">
        <v>6</v>
      </c>
      <c r="CZ199" s="104">
        <v>7</v>
      </c>
      <c r="DA199" s="104">
        <v>8</v>
      </c>
      <c r="DB199" s="104">
        <v>2</v>
      </c>
    </row>
    <row r="200" spans="15:106">
      <c r="O200" s="100">
        <v>18.5</v>
      </c>
      <c r="P200" s="5">
        <f t="shared" ca="1" si="189"/>
        <v>0</v>
      </c>
      <c r="Q200" s="5">
        <f t="shared" ca="1" si="190"/>
        <v>0.50547540350293663</v>
      </c>
      <c r="R200" s="5">
        <f t="shared" ca="1" si="191"/>
        <v>0.74261268636883382</v>
      </c>
      <c r="S200" s="5">
        <f t="shared" ca="1" si="192"/>
        <v>0</v>
      </c>
      <c r="CM200" s="13" t="s">
        <v>231</v>
      </c>
      <c r="CN200" s="20">
        <v>33.598999999999997</v>
      </c>
      <c r="CO200" s="20">
        <v>-101.89189</v>
      </c>
      <c r="CP200" s="19">
        <v>0.185</v>
      </c>
      <c r="CQ200" s="19">
        <v>0.27700000000000002</v>
      </c>
      <c r="CR200" s="19">
        <v>0.31900000000000001</v>
      </c>
      <c r="CS200" s="19">
        <v>0.17299999999999999</v>
      </c>
      <c r="CT200" s="98">
        <v>288.15000000000003</v>
      </c>
      <c r="CU200" s="98">
        <v>302.03888888888895</v>
      </c>
      <c r="CV200" s="98">
        <v>305.92777777777781</v>
      </c>
      <c r="CW200" s="98">
        <v>290.92777777777781</v>
      </c>
      <c r="CX200" s="104">
        <v>1</v>
      </c>
      <c r="CY200" s="104">
        <v>2</v>
      </c>
      <c r="CZ200" s="104">
        <v>3</v>
      </c>
      <c r="DA200" s="104">
        <v>4</v>
      </c>
      <c r="DB200" s="104">
        <v>1</v>
      </c>
    </row>
    <row r="201" spans="15:106">
      <c r="O201" s="100">
        <v>19.5</v>
      </c>
      <c r="P201" s="5">
        <f t="shared" ca="1" si="189"/>
        <v>0</v>
      </c>
      <c r="Q201" s="5">
        <f t="shared" ca="1" si="190"/>
        <v>0</v>
      </c>
      <c r="R201" s="5">
        <f t="shared" ca="1" si="191"/>
        <v>0</v>
      </c>
      <c r="S201" s="5">
        <f t="shared" ca="1" si="192"/>
        <v>0</v>
      </c>
      <c r="CM201" s="13" t="s">
        <v>232</v>
      </c>
      <c r="CN201" s="20">
        <v>31.76322</v>
      </c>
      <c r="CO201" s="20">
        <v>-95.649600000000007</v>
      </c>
      <c r="CP201" s="19">
        <v>0.31699999999999995</v>
      </c>
      <c r="CQ201" s="19">
        <v>0.31800000000000006</v>
      </c>
      <c r="CR201" s="19">
        <v>0.26100000000000001</v>
      </c>
      <c r="CS201" s="19">
        <v>0.254</v>
      </c>
      <c r="CT201" s="98">
        <v>289.26111111111112</v>
      </c>
      <c r="CU201" s="98">
        <v>300.92777777777781</v>
      </c>
      <c r="CV201" s="98">
        <v>307.59444444444449</v>
      </c>
      <c r="CW201" s="98">
        <v>292.59444444444449</v>
      </c>
      <c r="CX201" s="104">
        <v>5</v>
      </c>
      <c r="CY201" s="104">
        <v>6</v>
      </c>
      <c r="CZ201" s="104">
        <v>7</v>
      </c>
      <c r="DA201" s="104">
        <v>8</v>
      </c>
      <c r="DB201" s="104">
        <v>2</v>
      </c>
    </row>
    <row r="202" spans="15:106">
      <c r="O202" s="100">
        <v>20.5</v>
      </c>
      <c r="P202" s="5">
        <f t="shared" ca="1" si="189"/>
        <v>0</v>
      </c>
      <c r="Q202" s="5">
        <f t="shared" ca="1" si="190"/>
        <v>0</v>
      </c>
      <c r="R202" s="5">
        <f t="shared" ca="1" si="191"/>
        <v>0</v>
      </c>
      <c r="S202" s="5">
        <f t="shared" ca="1" si="192"/>
        <v>0</v>
      </c>
      <c r="CM202" s="13" t="s">
        <v>233</v>
      </c>
      <c r="CN202" s="20">
        <v>29.932600000000001</v>
      </c>
      <c r="CO202" s="20">
        <v>-93.964420000000004</v>
      </c>
      <c r="CP202" s="19">
        <v>0.375</v>
      </c>
      <c r="CQ202" s="19">
        <v>0.35400000000000004</v>
      </c>
      <c r="CR202" s="19">
        <v>0.36799999999999999</v>
      </c>
      <c r="CS202" s="19">
        <v>0.34400000000000003</v>
      </c>
      <c r="CT202" s="98">
        <v>291.48333333333335</v>
      </c>
      <c r="CU202" s="98">
        <v>302.59444444444449</v>
      </c>
      <c r="CV202" s="98">
        <v>306.48333333333335</v>
      </c>
      <c r="CW202" s="98">
        <v>295.37222222222226</v>
      </c>
      <c r="CX202" s="104">
        <v>5</v>
      </c>
      <c r="CY202" s="104">
        <v>6</v>
      </c>
      <c r="CZ202" s="104">
        <v>7</v>
      </c>
      <c r="DA202" s="104">
        <v>8</v>
      </c>
      <c r="DB202" s="104">
        <v>2</v>
      </c>
    </row>
    <row r="203" spans="15:106">
      <c r="O203" s="100">
        <v>21.5</v>
      </c>
      <c r="P203" s="5">
        <f t="shared" ca="1" si="189"/>
        <v>0</v>
      </c>
      <c r="Q203" s="5">
        <f t="shared" ca="1" si="190"/>
        <v>0</v>
      </c>
      <c r="R203" s="5">
        <f t="shared" ca="1" si="191"/>
        <v>0</v>
      </c>
      <c r="S203" s="5">
        <f t="shared" ca="1" si="192"/>
        <v>0</v>
      </c>
      <c r="CM203" s="13" t="s">
        <v>234</v>
      </c>
      <c r="CN203" s="20">
        <v>29.385380000000001</v>
      </c>
      <c r="CO203" s="20">
        <v>-98.421660000000003</v>
      </c>
      <c r="CP203" s="19">
        <v>0.24599999999999994</v>
      </c>
      <c r="CQ203" s="19">
        <v>0.36400000000000005</v>
      </c>
      <c r="CR203" s="19">
        <v>0.35200000000000004</v>
      </c>
      <c r="CS203" s="19">
        <v>0.25</v>
      </c>
      <c r="CT203" s="98">
        <v>292.59444444444449</v>
      </c>
      <c r="CU203" s="98">
        <v>303.15000000000003</v>
      </c>
      <c r="CV203" s="98">
        <v>308.15000000000003</v>
      </c>
      <c r="CW203" s="98">
        <v>294.81666666666672</v>
      </c>
      <c r="CX203" s="104">
        <v>1</v>
      </c>
      <c r="CY203" s="104">
        <v>2</v>
      </c>
      <c r="CZ203" s="104">
        <v>3</v>
      </c>
      <c r="DA203" s="104">
        <v>4</v>
      </c>
      <c r="DB203" s="104">
        <v>1</v>
      </c>
    </row>
    <row r="204" spans="15:106">
      <c r="O204" s="100">
        <v>22.5</v>
      </c>
      <c r="P204" s="5">
        <f t="shared" ca="1" si="189"/>
        <v>0</v>
      </c>
      <c r="Q204" s="5">
        <f t="shared" ca="1" si="190"/>
        <v>0</v>
      </c>
      <c r="R204" s="5">
        <f t="shared" ca="1" si="191"/>
        <v>0</v>
      </c>
      <c r="S204" s="5">
        <f t="shared" ca="1" si="192"/>
        <v>0</v>
      </c>
      <c r="CM204" s="13" t="s">
        <v>235</v>
      </c>
      <c r="CN204" s="20">
        <v>38.394820000000003</v>
      </c>
      <c r="CO204" s="20">
        <v>-113.01502000000001</v>
      </c>
      <c r="CP204" s="19">
        <v>0.27499999999999997</v>
      </c>
      <c r="CQ204" s="19">
        <v>0.27500000000000002</v>
      </c>
      <c r="CR204" s="19">
        <v>0.246</v>
      </c>
      <c r="CS204" s="19">
        <v>0.23099999999999998</v>
      </c>
      <c r="CT204" s="98">
        <v>281.48333333333335</v>
      </c>
      <c r="CU204" s="98">
        <v>296.48333333333335</v>
      </c>
      <c r="CV204" s="98">
        <v>305.92777777777781</v>
      </c>
      <c r="CW204" s="98">
        <v>284.26111111111112</v>
      </c>
      <c r="CX204" s="104">
        <v>1</v>
      </c>
      <c r="CY204" s="104">
        <v>2</v>
      </c>
      <c r="CZ204" s="104">
        <v>3</v>
      </c>
      <c r="DA204" s="104">
        <v>4</v>
      </c>
      <c r="DB204" s="104">
        <v>1</v>
      </c>
    </row>
    <row r="205" spans="15:106">
      <c r="O205" s="100">
        <v>23.5</v>
      </c>
      <c r="P205" s="5">
        <f t="shared" ca="1" si="189"/>
        <v>0</v>
      </c>
      <c r="Q205" s="5">
        <f t="shared" ca="1" si="190"/>
        <v>0</v>
      </c>
      <c r="R205" s="5">
        <f t="shared" ca="1" si="191"/>
        <v>0</v>
      </c>
      <c r="S205" s="5">
        <f t="shared" ca="1" si="192"/>
        <v>0</v>
      </c>
      <c r="CM205" s="13" t="s">
        <v>236</v>
      </c>
      <c r="CN205" s="20">
        <v>40.786920000000002</v>
      </c>
      <c r="CO205" s="20">
        <v>-111.96993000000001</v>
      </c>
      <c r="CP205" s="19">
        <v>0.307</v>
      </c>
      <c r="CQ205" s="19">
        <v>0.30199999999999999</v>
      </c>
      <c r="CR205" s="19">
        <v>0.22900000000000004</v>
      </c>
      <c r="CS205" s="19">
        <v>0.27600000000000002</v>
      </c>
      <c r="CT205" s="98">
        <v>279.81666666666666</v>
      </c>
      <c r="CU205" s="98">
        <v>294.81666666666672</v>
      </c>
      <c r="CV205" s="98">
        <v>304.81666666666672</v>
      </c>
      <c r="CW205" s="98">
        <v>283.14999999999998</v>
      </c>
      <c r="CX205" s="104">
        <v>1</v>
      </c>
      <c r="CY205" s="104">
        <v>2</v>
      </c>
      <c r="CZ205" s="104">
        <v>3</v>
      </c>
      <c r="DA205" s="104">
        <v>4</v>
      </c>
      <c r="DB205" s="104">
        <v>1</v>
      </c>
    </row>
    <row r="206" spans="15:106">
      <c r="CM206" s="13" t="s">
        <v>237</v>
      </c>
      <c r="CN206" s="20">
        <v>36.911450000000002</v>
      </c>
      <c r="CO206" s="20">
        <v>-76.024479999999997</v>
      </c>
      <c r="CP206" s="19">
        <v>0.30799999999999994</v>
      </c>
      <c r="CQ206" s="19">
        <v>0.313</v>
      </c>
      <c r="CR206" s="19">
        <v>0.33599999999999997</v>
      </c>
      <c r="CS206" s="19">
        <v>0.309</v>
      </c>
      <c r="CT206" s="98">
        <v>284.81666666666672</v>
      </c>
      <c r="CU206" s="98">
        <v>297.03888888888895</v>
      </c>
      <c r="CV206" s="98">
        <v>303.15000000000003</v>
      </c>
      <c r="CW206" s="98">
        <v>289.81666666666672</v>
      </c>
      <c r="CX206" s="104">
        <v>5</v>
      </c>
      <c r="CY206" s="104">
        <v>6</v>
      </c>
      <c r="CZ206" s="104">
        <v>7</v>
      </c>
      <c r="DA206" s="104">
        <v>8</v>
      </c>
      <c r="DB206" s="104">
        <v>2</v>
      </c>
    </row>
    <row r="207" spans="15:106">
      <c r="O207" s="111"/>
      <c r="P207" s="111"/>
      <c r="Q207" s="111"/>
      <c r="R207" s="111"/>
      <c r="S207" s="111"/>
      <c r="U207" s="170" t="s">
        <v>493</v>
      </c>
      <c r="V207" s="170"/>
      <c r="W207" s="170"/>
      <c r="X207" s="170"/>
      <c r="Y207" s="170"/>
      <c r="CM207" s="13" t="s">
        <v>238</v>
      </c>
      <c r="CN207" s="20">
        <v>37.415019999999998</v>
      </c>
      <c r="CO207" s="20">
        <v>-79.156859999999995</v>
      </c>
      <c r="CP207" s="19">
        <v>0.30499999999999994</v>
      </c>
      <c r="CQ207" s="19">
        <v>0.34000000000000008</v>
      </c>
      <c r="CR207" s="19">
        <v>0.32500000000000001</v>
      </c>
      <c r="CS207" s="19">
        <v>0.27400000000000002</v>
      </c>
      <c r="CT207" s="98">
        <v>282.59444444444443</v>
      </c>
      <c r="CU207" s="98">
        <v>297.03888888888895</v>
      </c>
      <c r="CV207" s="98">
        <v>302.59444444444449</v>
      </c>
      <c r="CW207" s="98">
        <v>287.59444444444449</v>
      </c>
      <c r="CX207" s="104">
        <v>5</v>
      </c>
      <c r="CY207" s="104">
        <v>6</v>
      </c>
      <c r="CZ207" s="104">
        <v>7</v>
      </c>
      <c r="DA207" s="104">
        <v>8</v>
      </c>
      <c r="DB207" s="104">
        <v>2</v>
      </c>
    </row>
    <row r="208" spans="15:106">
      <c r="O208" s="170" t="s">
        <v>540</v>
      </c>
      <c r="P208" s="170"/>
      <c r="Q208" s="170"/>
      <c r="R208" s="170"/>
      <c r="S208" s="170"/>
      <c r="U208" s="111"/>
      <c r="V208" s="111" t="s">
        <v>518</v>
      </c>
      <c r="W208" s="111" t="s">
        <v>515</v>
      </c>
      <c r="X208" s="111" t="s">
        <v>516</v>
      </c>
      <c r="Y208" s="111" t="s">
        <v>517</v>
      </c>
      <c r="CM208" s="13" t="s">
        <v>239</v>
      </c>
      <c r="CN208" s="20">
        <v>36.925730000000001</v>
      </c>
      <c r="CO208" s="20">
        <v>-76.265510000000006</v>
      </c>
      <c r="CP208" s="19">
        <v>0.32099999999999995</v>
      </c>
      <c r="CQ208" s="19">
        <v>0.35000000000000003</v>
      </c>
      <c r="CR208" s="19">
        <v>0.38500000000000001</v>
      </c>
      <c r="CS208" s="19">
        <v>0.33400000000000002</v>
      </c>
      <c r="CT208" s="98">
        <v>283.70555555555558</v>
      </c>
      <c r="CU208" s="98">
        <v>297.03888888888895</v>
      </c>
      <c r="CV208" s="98">
        <v>302.59444444444449</v>
      </c>
      <c r="CW208" s="98">
        <v>289.26111111111112</v>
      </c>
      <c r="CX208" s="104">
        <v>5</v>
      </c>
      <c r="CY208" s="104">
        <v>6</v>
      </c>
      <c r="CZ208" s="104">
        <v>7</v>
      </c>
      <c r="DA208" s="104">
        <v>8</v>
      </c>
      <c r="DB208" s="104">
        <v>2</v>
      </c>
    </row>
    <row r="209" spans="15:106">
      <c r="O209" s="99" t="s">
        <v>289</v>
      </c>
      <c r="P209" s="99" t="s">
        <v>0</v>
      </c>
      <c r="Q209" s="99" t="s">
        <v>3</v>
      </c>
      <c r="R209" s="99" t="s">
        <v>4</v>
      </c>
      <c r="S209" s="99" t="s">
        <v>5</v>
      </c>
      <c r="U209" s="99" t="s">
        <v>289</v>
      </c>
      <c r="V209" s="99" t="s">
        <v>0</v>
      </c>
      <c r="W209" s="99" t="s">
        <v>3</v>
      </c>
      <c r="X209" s="99" t="s">
        <v>4</v>
      </c>
      <c r="Y209" s="99" t="s">
        <v>5</v>
      </c>
      <c r="CM209" s="13" t="s">
        <v>240</v>
      </c>
      <c r="CN209" s="20">
        <v>37.544409999999999</v>
      </c>
      <c r="CO209" s="20">
        <v>-77.462739999999997</v>
      </c>
      <c r="CP209" s="19">
        <v>0.31699999999999995</v>
      </c>
      <c r="CQ209" s="19">
        <v>0.34400000000000008</v>
      </c>
      <c r="CR209" s="19">
        <v>0.34800000000000003</v>
      </c>
      <c r="CS209" s="19">
        <v>0.28700000000000003</v>
      </c>
      <c r="CT209" s="98">
        <v>283.70555555555558</v>
      </c>
      <c r="CU209" s="98">
        <v>298.70555555555558</v>
      </c>
      <c r="CV209" s="98">
        <v>304.26111111111112</v>
      </c>
      <c r="CW209" s="98">
        <v>289.26111111111112</v>
      </c>
      <c r="CX209" s="104">
        <v>5</v>
      </c>
      <c r="CY209" s="104">
        <v>6</v>
      </c>
      <c r="CZ209" s="104">
        <v>7</v>
      </c>
      <c r="DA209" s="104">
        <v>8</v>
      </c>
      <c r="DB209" s="104">
        <v>2</v>
      </c>
    </row>
    <row r="210" spans="15:106">
      <c r="O210" s="100">
        <v>0.5</v>
      </c>
      <c r="P210" s="5">
        <f ca="1">(P98+P126+P154+P182)*(91.5/1000)</f>
        <v>0</v>
      </c>
      <c r="Q210" s="5">
        <f ca="1">(Q98+Q126+Q154+Q182)*(91.5/1000)</f>
        <v>0</v>
      </c>
      <c r="R210" s="5">
        <f ca="1">(R98+R126+R154+R182)*(91.5/1000)</f>
        <v>0</v>
      </c>
      <c r="S210" s="5">
        <f ca="1">(S98+S126+S154+S182)*(91.5/1000)</f>
        <v>0</v>
      </c>
      <c r="U210" s="100">
        <v>0.5</v>
      </c>
      <c r="V210" s="5">
        <f ca="1">P210*J5</f>
        <v>0</v>
      </c>
      <c r="W210" s="5">
        <f t="shared" ref="W210:Y210" ca="1" si="193">Q210*K5</f>
        <v>0</v>
      </c>
      <c r="X210" s="5">
        <f t="shared" ca="1" si="193"/>
        <v>0</v>
      </c>
      <c r="Y210" s="5">
        <f t="shared" ca="1" si="193"/>
        <v>0</v>
      </c>
      <c r="CM210" s="13" t="s">
        <v>241</v>
      </c>
      <c r="CN210" s="20">
        <v>44.479039999999998</v>
      </c>
      <c r="CO210" s="20">
        <v>-73.1858</v>
      </c>
      <c r="CP210" s="19">
        <v>0.44499999999999995</v>
      </c>
      <c r="CQ210" s="19">
        <v>0.46300000000000008</v>
      </c>
      <c r="CR210" s="19">
        <v>0.42199999999999999</v>
      </c>
      <c r="CS210" s="19">
        <v>0.52</v>
      </c>
      <c r="CT210" s="98">
        <v>272.59444444444443</v>
      </c>
      <c r="CU210" s="98">
        <v>292.59444444444449</v>
      </c>
      <c r="CV210" s="98">
        <v>299.26111111111112</v>
      </c>
      <c r="CW210" s="98">
        <v>280.92777777777781</v>
      </c>
      <c r="CX210" s="104">
        <v>5</v>
      </c>
      <c r="CY210" s="104">
        <v>6</v>
      </c>
      <c r="CZ210" s="104">
        <v>7</v>
      </c>
      <c r="DA210" s="104">
        <v>8</v>
      </c>
      <c r="DB210" s="104">
        <v>2</v>
      </c>
    </row>
    <row r="211" spans="15:106">
      <c r="O211" s="100">
        <v>1.5</v>
      </c>
      <c r="P211" s="5">
        <f t="shared" ref="P211:S211" ca="1" si="194">(P99+P127+P155+P183)*(91.5/1000)</f>
        <v>0</v>
      </c>
      <c r="Q211" s="5">
        <f t="shared" ca="1" si="194"/>
        <v>0</v>
      </c>
      <c r="R211" s="5">
        <f t="shared" ca="1" si="194"/>
        <v>0</v>
      </c>
      <c r="S211" s="5">
        <f t="shared" ca="1" si="194"/>
        <v>0</v>
      </c>
      <c r="U211" s="100">
        <v>1.5</v>
      </c>
      <c r="V211" s="5">
        <f t="shared" ref="V211:V233" ca="1" si="195">P211*J6</f>
        <v>0</v>
      </c>
      <c r="W211" s="5">
        <f t="shared" ref="W211:W233" ca="1" si="196">Q211*K6</f>
        <v>0</v>
      </c>
      <c r="X211" s="5">
        <f t="shared" ref="X211:X233" ca="1" si="197">R211*L6</f>
        <v>0</v>
      </c>
      <c r="Y211" s="5">
        <f t="shared" ref="Y211:Y233" ca="1" si="198">S211*M6</f>
        <v>0</v>
      </c>
      <c r="CM211" s="13" t="s">
        <v>242</v>
      </c>
      <c r="CN211" s="20">
        <v>46.298859999999998</v>
      </c>
      <c r="CO211" s="20">
        <v>-124.07796999999999</v>
      </c>
      <c r="CP211" s="19">
        <v>0.48399999999999999</v>
      </c>
      <c r="CQ211" s="19">
        <v>0.50099999999999989</v>
      </c>
      <c r="CR211" s="19">
        <v>0.49099999999999999</v>
      </c>
      <c r="CS211" s="19">
        <v>0.54400000000000004</v>
      </c>
      <c r="CT211" s="98">
        <v>284.81666666666672</v>
      </c>
      <c r="CU211" s="98">
        <v>291.48333333333335</v>
      </c>
      <c r="CV211" s="98">
        <v>297.59444444444449</v>
      </c>
      <c r="CW211" s="98">
        <v>284.81666666666672</v>
      </c>
      <c r="CX211" s="104">
        <v>5</v>
      </c>
      <c r="CY211" s="104">
        <v>6</v>
      </c>
      <c r="CZ211" s="104">
        <v>7</v>
      </c>
      <c r="DA211" s="104">
        <v>8</v>
      </c>
      <c r="DB211" s="104">
        <v>2</v>
      </c>
    </row>
    <row r="212" spans="15:106">
      <c r="O212" s="100">
        <v>2.5</v>
      </c>
      <c r="P212" s="5">
        <f t="shared" ref="P212:S212" ca="1" si="199">(P100+P128+P156+P184)*(91.5/1000)</f>
        <v>0</v>
      </c>
      <c r="Q212" s="5">
        <f t="shared" ca="1" si="199"/>
        <v>0</v>
      </c>
      <c r="R212" s="5">
        <f t="shared" ca="1" si="199"/>
        <v>0</v>
      </c>
      <c r="S212" s="5">
        <f t="shared" ca="1" si="199"/>
        <v>0</v>
      </c>
      <c r="U212" s="100">
        <v>2.5</v>
      </c>
      <c r="V212" s="5">
        <f t="shared" ca="1" si="195"/>
        <v>0</v>
      </c>
      <c r="W212" s="5">
        <f t="shared" ca="1" si="196"/>
        <v>0</v>
      </c>
      <c r="X212" s="5">
        <f t="shared" ca="1" si="197"/>
        <v>0</v>
      </c>
      <c r="Y212" s="5">
        <f t="shared" ca="1" si="198"/>
        <v>0</v>
      </c>
      <c r="CM212" s="13" t="s">
        <v>243</v>
      </c>
      <c r="CN212" s="20">
        <v>47.938980000000001</v>
      </c>
      <c r="CO212" s="20">
        <v>-124.55674999999999</v>
      </c>
      <c r="CP212" s="19">
        <v>0.55799999999999994</v>
      </c>
      <c r="CQ212" s="19">
        <v>0.58400000000000007</v>
      </c>
      <c r="CR212" s="19">
        <v>0.498</v>
      </c>
      <c r="CS212" s="19">
        <v>0.58800000000000008</v>
      </c>
      <c r="CT212" s="98">
        <v>282.59444444444443</v>
      </c>
      <c r="CU212" s="98">
        <v>288.70555555555558</v>
      </c>
      <c r="CV212" s="98">
        <v>293.70555555555558</v>
      </c>
      <c r="CW212" s="98">
        <v>283.14999999999998</v>
      </c>
      <c r="CX212" s="104">
        <v>5</v>
      </c>
      <c r="CY212" s="104">
        <v>6</v>
      </c>
      <c r="CZ212" s="104">
        <v>7</v>
      </c>
      <c r="DA212" s="104">
        <v>8</v>
      </c>
      <c r="DB212" s="104">
        <v>2</v>
      </c>
    </row>
    <row r="213" spans="15:106">
      <c r="O213" s="100">
        <v>3.5</v>
      </c>
      <c r="P213" s="5">
        <f t="shared" ref="P213:S213" ca="1" si="200">(P101+P129+P157+P185)*(91.5/1000)</f>
        <v>0</v>
      </c>
      <c r="Q213" s="5">
        <f t="shared" ca="1" si="200"/>
        <v>0</v>
      </c>
      <c r="R213" s="5">
        <f t="shared" ca="1" si="200"/>
        <v>0</v>
      </c>
      <c r="S213" s="5">
        <f t="shared" ca="1" si="200"/>
        <v>0</v>
      </c>
      <c r="U213" s="100">
        <v>3.5</v>
      </c>
      <c r="V213" s="5">
        <f t="shared" ca="1" si="195"/>
        <v>0</v>
      </c>
      <c r="W213" s="5">
        <f t="shared" ca="1" si="196"/>
        <v>0</v>
      </c>
      <c r="X213" s="5">
        <f t="shared" ca="1" si="197"/>
        <v>0</v>
      </c>
      <c r="Y213" s="5">
        <f t="shared" ca="1" si="198"/>
        <v>0</v>
      </c>
      <c r="CM213" s="17" t="s">
        <v>244</v>
      </c>
      <c r="CN213" s="20">
        <v>47.617330000000003</v>
      </c>
      <c r="CO213" s="20">
        <v>-122.31912</v>
      </c>
      <c r="CP213" s="19">
        <v>0.51300000000000001</v>
      </c>
      <c r="CQ213" s="19">
        <v>0.46800000000000003</v>
      </c>
      <c r="CR213" s="19">
        <v>0.36099999999999999</v>
      </c>
      <c r="CS213" s="19">
        <v>0.58899999999999997</v>
      </c>
      <c r="CT213" s="98">
        <v>282.03888888888889</v>
      </c>
      <c r="CU213" s="98">
        <v>290.92777777777781</v>
      </c>
      <c r="CV213" s="98">
        <v>295.92777777777781</v>
      </c>
      <c r="CW213" s="98">
        <v>283.70555555555558</v>
      </c>
      <c r="CX213" s="104">
        <v>5</v>
      </c>
      <c r="CY213" s="104">
        <v>6</v>
      </c>
      <c r="CZ213" s="104">
        <v>7</v>
      </c>
      <c r="DA213" s="104">
        <v>8</v>
      </c>
      <c r="DB213" s="104">
        <v>2</v>
      </c>
    </row>
    <row r="214" spans="15:106">
      <c r="O214" s="100">
        <v>4.5</v>
      </c>
      <c r="P214" s="5">
        <f t="shared" ref="P214:S214" ca="1" si="201">(P102+P130+P158+P186)*(91.5/1000)</f>
        <v>0</v>
      </c>
      <c r="Q214" s="5">
        <f t="shared" ca="1" si="201"/>
        <v>0</v>
      </c>
      <c r="R214" s="5">
        <f t="shared" ca="1" si="201"/>
        <v>0</v>
      </c>
      <c r="S214" s="5">
        <f t="shared" ca="1" si="201"/>
        <v>0</v>
      </c>
      <c r="U214" s="100">
        <v>4.5</v>
      </c>
      <c r="V214" s="5">
        <f t="shared" ca="1" si="195"/>
        <v>0</v>
      </c>
      <c r="W214" s="5">
        <f t="shared" ca="1" si="196"/>
        <v>0</v>
      </c>
      <c r="X214" s="5">
        <f t="shared" ca="1" si="197"/>
        <v>0</v>
      </c>
      <c r="Y214" s="5">
        <f t="shared" ca="1" si="198"/>
        <v>0</v>
      </c>
      <c r="CM214" s="13" t="s">
        <v>245</v>
      </c>
      <c r="CN214" s="20">
        <v>47.661920000000002</v>
      </c>
      <c r="CO214" s="20">
        <v>-117.42100000000001</v>
      </c>
      <c r="CP214" s="19">
        <v>0.433</v>
      </c>
      <c r="CQ214" s="19">
        <v>0.44</v>
      </c>
      <c r="CR214" s="19">
        <v>0.3</v>
      </c>
      <c r="CS214" s="19">
        <v>0.47899999999999998</v>
      </c>
      <c r="CT214" s="98">
        <v>277.59444444444443</v>
      </c>
      <c r="CU214" s="98">
        <v>292.03888888888895</v>
      </c>
      <c r="CV214" s="98">
        <v>301.48333333333335</v>
      </c>
      <c r="CW214" s="98">
        <v>278.70555555555558</v>
      </c>
      <c r="CX214" s="104">
        <v>1</v>
      </c>
      <c r="CY214" s="104">
        <v>2</v>
      </c>
      <c r="CZ214" s="104">
        <v>3</v>
      </c>
      <c r="DA214" s="104">
        <v>4</v>
      </c>
      <c r="DB214" s="104">
        <v>1</v>
      </c>
    </row>
    <row r="215" spans="15:106">
      <c r="O215" s="100">
        <v>5.5</v>
      </c>
      <c r="P215" s="5">
        <f t="shared" ref="P215:S215" ca="1" si="202">(P103+P131+P159+P187)*(91.5/1000)</f>
        <v>0</v>
      </c>
      <c r="Q215" s="5">
        <f t="shared" ca="1" si="202"/>
        <v>9.0292990792070658</v>
      </c>
      <c r="R215" s="5">
        <f t="shared" ca="1" si="202"/>
        <v>6.7990378717027866</v>
      </c>
      <c r="S215" s="5">
        <f t="shared" ca="1" si="202"/>
        <v>0</v>
      </c>
      <c r="U215" s="100">
        <v>5.5</v>
      </c>
      <c r="V215" s="5">
        <f t="shared" ca="1" si="195"/>
        <v>0</v>
      </c>
      <c r="W215" s="5">
        <f t="shared" ca="1" si="196"/>
        <v>1.4446878526731306</v>
      </c>
      <c r="X215" s="5">
        <f t="shared" ca="1" si="197"/>
        <v>1.0878460594724459</v>
      </c>
      <c r="Y215" s="5">
        <f t="shared" ca="1" si="198"/>
        <v>0</v>
      </c>
      <c r="CM215" s="13" t="s">
        <v>246</v>
      </c>
      <c r="CN215" s="20">
        <v>47.239089999999997</v>
      </c>
      <c r="CO215" s="20">
        <v>-122.47263</v>
      </c>
      <c r="CP215" s="19">
        <v>0.48199999999999998</v>
      </c>
      <c r="CQ215" s="19">
        <v>0.42000000000000004</v>
      </c>
      <c r="CR215" s="19">
        <v>0.33200000000000002</v>
      </c>
      <c r="CS215" s="19">
        <v>0.54900000000000004</v>
      </c>
      <c r="CT215" s="98">
        <v>283.70555555555558</v>
      </c>
      <c r="CU215" s="98">
        <v>292.03888888888895</v>
      </c>
      <c r="CV215" s="98">
        <v>298.15000000000003</v>
      </c>
      <c r="CW215" s="98">
        <v>284.81666666666672</v>
      </c>
      <c r="CX215" s="104">
        <v>5</v>
      </c>
      <c r="CY215" s="104">
        <v>6</v>
      </c>
      <c r="CZ215" s="104">
        <v>7</v>
      </c>
      <c r="DA215" s="104">
        <v>8</v>
      </c>
      <c r="DB215" s="104">
        <v>2</v>
      </c>
    </row>
    <row r="216" spans="15:106">
      <c r="O216" s="100">
        <v>6.5</v>
      </c>
      <c r="P216" s="5">
        <f t="shared" ref="P216:S216" ca="1" si="203">(P104+P132+P160+P188)*(91.5/1000)</f>
        <v>0</v>
      </c>
      <c r="Q216" s="5">
        <f t="shared" ca="1" si="203"/>
        <v>44.828650854410085</v>
      </c>
      <c r="R216" s="5">
        <f t="shared" ca="1" si="203"/>
        <v>34.626940398030968</v>
      </c>
      <c r="S216" s="5">
        <f t="shared" ca="1" si="203"/>
        <v>2.5462362991417042</v>
      </c>
      <c r="U216" s="100">
        <v>6.5</v>
      </c>
      <c r="V216" s="5">
        <f t="shared" ca="1" si="195"/>
        <v>0</v>
      </c>
      <c r="W216" s="5">
        <f t="shared" ca="1" si="196"/>
        <v>7.1725841367056136</v>
      </c>
      <c r="X216" s="5">
        <f t="shared" ca="1" si="197"/>
        <v>5.5403104636849552</v>
      </c>
      <c r="Y216" s="5">
        <f t="shared" ca="1" si="198"/>
        <v>0.40739780786267271</v>
      </c>
      <c r="CM216" s="13" t="s">
        <v>247</v>
      </c>
      <c r="CN216" s="20">
        <v>48.391680000000001</v>
      </c>
      <c r="CO216" s="20">
        <v>-124.73594</v>
      </c>
      <c r="CP216" s="19">
        <v>0.505</v>
      </c>
      <c r="CQ216" s="19">
        <v>0.52600000000000002</v>
      </c>
      <c r="CR216" s="19">
        <v>0.50700000000000001</v>
      </c>
      <c r="CS216" s="19">
        <v>0.58200000000000007</v>
      </c>
      <c r="CT216" s="98">
        <v>282.59444444444443</v>
      </c>
      <c r="CU216" s="98">
        <v>290.37222222222226</v>
      </c>
      <c r="CV216" s="98">
        <v>295.92777777777781</v>
      </c>
      <c r="CW216" s="98">
        <v>282.59444444444443</v>
      </c>
      <c r="CX216" s="104">
        <v>5</v>
      </c>
      <c r="CY216" s="104">
        <v>6</v>
      </c>
      <c r="CZ216" s="104">
        <v>7</v>
      </c>
      <c r="DA216" s="104">
        <v>8</v>
      </c>
      <c r="DB216" s="104">
        <v>2</v>
      </c>
    </row>
    <row r="217" spans="15:106">
      <c r="O217" s="100">
        <v>7.5</v>
      </c>
      <c r="P217" s="5">
        <f t="shared" ref="P217:S217" ca="1" si="204">(P105+P133+P161+P189)*(91.5/1000)</f>
        <v>25.066380531697142</v>
      </c>
      <c r="Q217" s="5">
        <f t="shared" ca="1" si="204"/>
        <v>103.54870732265337</v>
      </c>
      <c r="R217" s="5">
        <f t="shared" ca="1" si="204"/>
        <v>86.866978598572942</v>
      </c>
      <c r="S217" s="5">
        <f t="shared" ca="1" si="204"/>
        <v>62.577317590769027</v>
      </c>
      <c r="U217" s="100">
        <v>7.5</v>
      </c>
      <c r="V217" s="5">
        <f t="shared" ca="1" si="195"/>
        <v>4.0106208850715426</v>
      </c>
      <c r="W217" s="5">
        <f t="shared" ca="1" si="196"/>
        <v>16.56779317162454</v>
      </c>
      <c r="X217" s="5">
        <f t="shared" ca="1" si="197"/>
        <v>13.898716575771671</v>
      </c>
      <c r="Y217" s="5">
        <f t="shared" ca="1" si="198"/>
        <v>10.012370814523045</v>
      </c>
      <c r="CM217" s="13" t="s">
        <v>248</v>
      </c>
      <c r="CN217" s="20">
        <v>46.066339999999997</v>
      </c>
      <c r="CO217" s="20">
        <v>-118.31656</v>
      </c>
      <c r="CP217" s="19">
        <v>0.41</v>
      </c>
      <c r="CQ217" s="19">
        <v>0.33600000000000002</v>
      </c>
      <c r="CR217" s="19">
        <v>0.21100000000000002</v>
      </c>
      <c r="CS217" s="19">
        <v>0.43799999999999994</v>
      </c>
      <c r="CT217" s="98">
        <v>281.48333333333335</v>
      </c>
      <c r="CU217" s="98">
        <v>295.37222222222226</v>
      </c>
      <c r="CV217" s="98">
        <v>304.81666666666672</v>
      </c>
      <c r="CW217" s="98">
        <v>283.14999999999998</v>
      </c>
      <c r="CX217" s="104">
        <v>1</v>
      </c>
      <c r="CY217" s="104">
        <v>2</v>
      </c>
      <c r="CZ217" s="104">
        <v>3</v>
      </c>
      <c r="DA217" s="104">
        <v>4</v>
      </c>
      <c r="DB217" s="104">
        <v>1</v>
      </c>
    </row>
    <row r="218" spans="15:106">
      <c r="O218" s="100">
        <v>8.5</v>
      </c>
      <c r="P218" s="5">
        <f t="shared" ref="P218:S218" ca="1" si="205">(P106+P134+P162+P190)*(91.5/1000)</f>
        <v>113.93683351456328</v>
      </c>
      <c r="Q218" s="5">
        <f t="shared" ca="1" si="205"/>
        <v>167.16968287543915</v>
      </c>
      <c r="R218" s="5">
        <f t="shared" ca="1" si="205"/>
        <v>142.36533670788708</v>
      </c>
      <c r="S218" s="5">
        <f t="shared" ca="1" si="205"/>
        <v>121.20845254634062</v>
      </c>
      <c r="U218" s="100">
        <v>8.5</v>
      </c>
      <c r="V218" s="5">
        <f t="shared" ca="1" si="195"/>
        <v>18.229893362330124</v>
      </c>
      <c r="W218" s="5">
        <f t="shared" ca="1" si="196"/>
        <v>26.747149260070266</v>
      </c>
      <c r="X218" s="5">
        <f t="shared" ca="1" si="197"/>
        <v>22.778453873261935</v>
      </c>
      <c r="Y218" s="5">
        <f t="shared" ca="1" si="198"/>
        <v>19.393352407414501</v>
      </c>
      <c r="CM218" s="13" t="s">
        <v>249</v>
      </c>
      <c r="CN218" s="20">
        <v>44.524940000000001</v>
      </c>
      <c r="CO218" s="20">
        <v>-87.960980000000006</v>
      </c>
      <c r="CP218" s="19">
        <v>0.39500000000000002</v>
      </c>
      <c r="CQ218" s="19">
        <v>0.439</v>
      </c>
      <c r="CR218" s="19">
        <v>0.41599999999999993</v>
      </c>
      <c r="CS218" s="19">
        <v>0.49899999999999994</v>
      </c>
      <c r="CT218" s="98">
        <v>270.92777777777781</v>
      </c>
      <c r="CU218" s="98">
        <v>292.03888888888895</v>
      </c>
      <c r="CV218" s="98">
        <v>298.70555555555558</v>
      </c>
      <c r="CW218" s="98">
        <v>278.70555555555558</v>
      </c>
      <c r="CX218" s="104">
        <v>5</v>
      </c>
      <c r="CY218" s="104">
        <v>6</v>
      </c>
      <c r="CZ218" s="104">
        <v>7</v>
      </c>
      <c r="DA218" s="104">
        <v>8</v>
      </c>
      <c r="DB218" s="104">
        <v>2</v>
      </c>
    </row>
    <row r="219" spans="15:106">
      <c r="O219" s="100">
        <v>9.5</v>
      </c>
      <c r="P219" s="5">
        <f t="shared" ref="P219:S219" ca="1" si="206">(P107+P135+P163+P191)*(91.5/1000)</f>
        <v>203.88681225464069</v>
      </c>
      <c r="Q219" s="5">
        <f t="shared" ca="1" si="206"/>
        <v>220.79443117924487</v>
      </c>
      <c r="R219" s="5">
        <f t="shared" ca="1" si="206"/>
        <v>194.61951029147758</v>
      </c>
      <c r="S219" s="5">
        <f t="shared" ca="1" si="206"/>
        <v>193.44105674905978</v>
      </c>
      <c r="U219" s="100">
        <v>9.5</v>
      </c>
      <c r="V219" s="5">
        <f t="shared" ca="1" si="195"/>
        <v>32.621889960742507</v>
      </c>
      <c r="W219" s="5">
        <f t="shared" ca="1" si="196"/>
        <v>35.327108988679178</v>
      </c>
      <c r="X219" s="5">
        <f t="shared" ca="1" si="197"/>
        <v>31.139121646636415</v>
      </c>
      <c r="Y219" s="5">
        <f t="shared" ca="1" si="198"/>
        <v>30.950569079849565</v>
      </c>
      <c r="CM219" s="13" t="s">
        <v>250</v>
      </c>
      <c r="CN219" s="20">
        <v>43.820489999999999</v>
      </c>
      <c r="CO219" s="20">
        <v>-91.227220000000003</v>
      </c>
      <c r="CP219" s="19">
        <v>0.35899999999999999</v>
      </c>
      <c r="CQ219" s="19">
        <v>0.39400000000000002</v>
      </c>
      <c r="CR219" s="19">
        <v>0.318</v>
      </c>
      <c r="CS219" s="19">
        <v>0.39800000000000002</v>
      </c>
      <c r="CT219" s="98">
        <v>272.59444444444443</v>
      </c>
      <c r="CU219" s="98">
        <v>294.81666666666672</v>
      </c>
      <c r="CV219" s="98">
        <v>300.92777777777781</v>
      </c>
      <c r="CW219" s="98">
        <v>279.81666666666666</v>
      </c>
      <c r="CX219" s="104">
        <v>5</v>
      </c>
      <c r="CY219" s="104">
        <v>6</v>
      </c>
      <c r="CZ219" s="104">
        <v>7</v>
      </c>
      <c r="DA219" s="104">
        <v>8</v>
      </c>
      <c r="DB219" s="104">
        <v>2</v>
      </c>
    </row>
    <row r="220" spans="15:106">
      <c r="O220" s="100">
        <v>10.5</v>
      </c>
      <c r="P220" s="5">
        <f t="shared" ref="P220:S220" ca="1" si="207">(P108+P136+P164+P192)*(91.5/1000)</f>
        <v>270.91415785619557</v>
      </c>
      <c r="Q220" s="5">
        <f t="shared" ca="1" si="207"/>
        <v>260.80542663700453</v>
      </c>
      <c r="R220" s="5">
        <f t="shared" ca="1" si="207"/>
        <v>232.96079408384293</v>
      </c>
      <c r="S220" s="5">
        <f t="shared" ca="1" si="207"/>
        <v>237.24193250699992</v>
      </c>
      <c r="U220" s="100">
        <v>10.5</v>
      </c>
      <c r="V220" s="5">
        <f t="shared" ca="1" si="195"/>
        <v>43.346265256991295</v>
      </c>
      <c r="W220" s="5">
        <f t="shared" ca="1" si="196"/>
        <v>41.728868261920724</v>
      </c>
      <c r="X220" s="5">
        <f t="shared" ca="1" si="197"/>
        <v>37.273727053414866</v>
      </c>
      <c r="Y220" s="5">
        <f t="shared" ca="1" si="198"/>
        <v>37.958709201119987</v>
      </c>
      <c r="CM220" s="13" t="s">
        <v>251</v>
      </c>
      <c r="CN220" s="20">
        <v>43.045279999999998</v>
      </c>
      <c r="CO220" s="20">
        <v>-89.429090000000002</v>
      </c>
      <c r="CP220" s="19">
        <v>0.38900000000000001</v>
      </c>
      <c r="CQ220" s="19">
        <v>0.42500000000000004</v>
      </c>
      <c r="CR220" s="19">
        <v>0.34400000000000003</v>
      </c>
      <c r="CS220" s="19">
        <v>0.41500000000000004</v>
      </c>
      <c r="CT220" s="98">
        <v>272.59444444444443</v>
      </c>
      <c r="CU220" s="98">
        <v>293.15000000000003</v>
      </c>
      <c r="CV220" s="98">
        <v>299.26111111111112</v>
      </c>
      <c r="CW220" s="98">
        <v>279.81666666666666</v>
      </c>
      <c r="CX220" s="104">
        <v>5</v>
      </c>
      <c r="CY220" s="104">
        <v>6</v>
      </c>
      <c r="CZ220" s="104">
        <v>7</v>
      </c>
      <c r="DA220" s="104">
        <v>8</v>
      </c>
      <c r="DB220" s="104">
        <v>2</v>
      </c>
    </row>
    <row r="221" spans="15:106">
      <c r="O221" s="100">
        <v>11.5</v>
      </c>
      <c r="P221" s="5">
        <f t="shared" ref="P221:S221" ca="1" si="208">(P109+P137+P165+P193)*(91.5/1000)</f>
        <v>298.81825834502121</v>
      </c>
      <c r="Q221" s="5">
        <f t="shared" ca="1" si="208"/>
        <v>277.64383759209608</v>
      </c>
      <c r="R221" s="5">
        <f t="shared" ca="1" si="208"/>
        <v>250.45286495559898</v>
      </c>
      <c r="S221" s="5">
        <f t="shared" ca="1" si="208"/>
        <v>248.02419786308096</v>
      </c>
      <c r="U221" s="100">
        <v>11.5</v>
      </c>
      <c r="V221" s="5">
        <f t="shared" ca="1" si="195"/>
        <v>47.810921335203396</v>
      </c>
      <c r="W221" s="5">
        <f t="shared" ca="1" si="196"/>
        <v>44.423014014735372</v>
      </c>
      <c r="X221" s="5">
        <f t="shared" ca="1" si="197"/>
        <v>40.07245839289584</v>
      </c>
      <c r="Y221" s="5">
        <f t="shared" ca="1" si="198"/>
        <v>39.683871658092954</v>
      </c>
      <c r="CM221" s="13" t="s">
        <v>252</v>
      </c>
      <c r="CN221" s="20">
        <v>43.050719999999998</v>
      </c>
      <c r="CO221" s="20">
        <v>-87.966409999999996</v>
      </c>
      <c r="CP221" s="19">
        <v>0.39</v>
      </c>
      <c r="CQ221" s="19">
        <v>0.39799999999999996</v>
      </c>
      <c r="CR221" s="19">
        <v>0.34499999999999997</v>
      </c>
      <c r="CS221" s="19">
        <v>0.45200000000000001</v>
      </c>
      <c r="CT221" s="98">
        <v>273.70555555555558</v>
      </c>
      <c r="CU221" s="98">
        <v>291.48333333333335</v>
      </c>
      <c r="CV221" s="98">
        <v>298.70555555555558</v>
      </c>
      <c r="CW221" s="98">
        <v>281.48333333333335</v>
      </c>
      <c r="CX221" s="104">
        <v>5</v>
      </c>
      <c r="CY221" s="104">
        <v>6</v>
      </c>
      <c r="CZ221" s="104">
        <v>7</v>
      </c>
      <c r="DA221" s="104">
        <v>8</v>
      </c>
      <c r="DB221" s="104">
        <v>2</v>
      </c>
    </row>
    <row r="222" spans="15:106">
      <c r="O222" s="100">
        <v>12.5</v>
      </c>
      <c r="P222" s="5">
        <f t="shared" ref="P222:S222" ca="1" si="209">(P110+P138+P166+P194)*(91.5/1000)</f>
        <v>297.23275136966703</v>
      </c>
      <c r="Q222" s="5">
        <f t="shared" ca="1" si="209"/>
        <v>266.51302174539211</v>
      </c>
      <c r="R222" s="5">
        <f t="shared" ca="1" si="209"/>
        <v>245.87743830268533</v>
      </c>
      <c r="S222" s="5">
        <f t="shared" ca="1" si="209"/>
        <v>223.60826504307298</v>
      </c>
      <c r="U222" s="100">
        <v>12.5</v>
      </c>
      <c r="V222" s="5">
        <f t="shared" ca="1" si="195"/>
        <v>47.557240219146728</v>
      </c>
      <c r="W222" s="5">
        <f t="shared" ca="1" si="196"/>
        <v>42.642083479262737</v>
      </c>
      <c r="X222" s="5">
        <f t="shared" ca="1" si="197"/>
        <v>39.340390128429654</v>
      </c>
      <c r="Y222" s="5">
        <f t="shared" ca="1" si="198"/>
        <v>35.777322406891678</v>
      </c>
      <c r="CM222" s="13" t="s">
        <v>253</v>
      </c>
      <c r="CN222" s="20">
        <v>38.92747</v>
      </c>
      <c r="CO222" s="20">
        <v>-79.845950000000002</v>
      </c>
      <c r="CP222" s="19">
        <v>0.48599999999999999</v>
      </c>
      <c r="CQ222" s="19">
        <v>0.46800000000000008</v>
      </c>
      <c r="CR222" s="19">
        <v>0.443</v>
      </c>
      <c r="CS222" s="19">
        <v>0.45299999999999996</v>
      </c>
      <c r="CT222" s="98">
        <v>279.26111111111112</v>
      </c>
      <c r="CU222" s="98">
        <v>294.81666666666672</v>
      </c>
      <c r="CV222" s="98">
        <v>299.81666666666672</v>
      </c>
      <c r="CW222" s="98">
        <v>284.81666666666672</v>
      </c>
      <c r="CX222" s="104">
        <v>5</v>
      </c>
      <c r="CY222" s="104">
        <v>6</v>
      </c>
      <c r="CZ222" s="104">
        <v>7</v>
      </c>
      <c r="DA222" s="104">
        <v>8</v>
      </c>
      <c r="DB222" s="104">
        <v>2</v>
      </c>
    </row>
    <row r="223" spans="15:106">
      <c r="O223" s="100">
        <v>13.5</v>
      </c>
      <c r="P223" s="5">
        <f t="shared" ref="P223:S223" ca="1" si="210">(P111+P139+P167+P195)*(91.5/1000)</f>
        <v>260.85964775714075</v>
      </c>
      <c r="Q223" s="5">
        <f t="shared" ca="1" si="210"/>
        <v>234.48396779455879</v>
      </c>
      <c r="R223" s="5">
        <f t="shared" ca="1" si="210"/>
        <v>218.89423501952848</v>
      </c>
      <c r="S223" s="5">
        <f t="shared" ca="1" si="210"/>
        <v>189.20271268677635</v>
      </c>
      <c r="U223" s="100">
        <v>13.5</v>
      </c>
      <c r="V223" s="5">
        <f t="shared" ca="1" si="195"/>
        <v>41.737543641142523</v>
      </c>
      <c r="W223" s="5">
        <f t="shared" ca="1" si="196"/>
        <v>37.517434847129408</v>
      </c>
      <c r="X223" s="5">
        <f t="shared" ca="1" si="197"/>
        <v>35.023077603124555</v>
      </c>
      <c r="Y223" s="5">
        <f t="shared" ca="1" si="198"/>
        <v>30.272434029884216</v>
      </c>
      <c r="CM223" s="13" t="s">
        <v>254</v>
      </c>
      <c r="CN223" s="20">
        <v>39.259779999999999</v>
      </c>
      <c r="CO223" s="20">
        <v>-81.573930000000004</v>
      </c>
      <c r="CP223" s="19">
        <v>0.42100000000000004</v>
      </c>
      <c r="CQ223" s="19">
        <v>0.36899999999999999</v>
      </c>
      <c r="CR223" s="19">
        <v>0.32100000000000001</v>
      </c>
      <c r="CS223" s="19">
        <v>0.4</v>
      </c>
      <c r="CT223" s="98">
        <v>279.81666666666666</v>
      </c>
      <c r="CU223" s="98">
        <v>297.03888888888895</v>
      </c>
      <c r="CV223" s="98">
        <v>303.15000000000003</v>
      </c>
      <c r="CW223" s="98">
        <v>286.48333333333335</v>
      </c>
      <c r="CX223" s="104">
        <v>5</v>
      </c>
      <c r="CY223" s="104">
        <v>6</v>
      </c>
      <c r="CZ223" s="104">
        <v>7</v>
      </c>
      <c r="DA223" s="104">
        <v>8</v>
      </c>
      <c r="DB223" s="104">
        <v>2</v>
      </c>
    </row>
    <row r="224" spans="15:106">
      <c r="O224" s="100">
        <v>14.5</v>
      </c>
      <c r="P224" s="5">
        <f t="shared" ref="P224:S224" ca="1" si="211">(P112+P140+P168+P196)*(91.5/1000)</f>
        <v>190.8336593144484</v>
      </c>
      <c r="Q224" s="5">
        <f t="shared" ca="1" si="211"/>
        <v>181.02926814200939</v>
      </c>
      <c r="R224" s="5">
        <f t="shared" ca="1" si="211"/>
        <v>173.84544198146773</v>
      </c>
      <c r="S224" s="5">
        <f t="shared" ca="1" si="211"/>
        <v>124.11764437163693</v>
      </c>
      <c r="U224" s="100">
        <v>14.5</v>
      </c>
      <c r="V224" s="5">
        <f t="shared" ca="1" si="195"/>
        <v>30.533385490311744</v>
      </c>
      <c r="W224" s="5">
        <f t="shared" ca="1" si="196"/>
        <v>28.964682902721503</v>
      </c>
      <c r="X224" s="5">
        <f t="shared" ca="1" si="197"/>
        <v>27.815270717034839</v>
      </c>
      <c r="Y224" s="5">
        <f t="shared" ca="1" si="198"/>
        <v>19.858823099461908</v>
      </c>
      <c r="CM224" s="13" t="s">
        <v>255</v>
      </c>
      <c r="CN224" s="20">
        <v>41.156660000000002</v>
      </c>
      <c r="CO224" s="20">
        <v>-104.82765999999999</v>
      </c>
      <c r="CP224" s="19">
        <v>0.24599999999999994</v>
      </c>
      <c r="CQ224" s="19">
        <v>0.41299999999999998</v>
      </c>
      <c r="CR224" s="19">
        <v>0.372</v>
      </c>
      <c r="CS224" s="19">
        <v>0.24199999999999999</v>
      </c>
      <c r="CT224" s="98">
        <v>277.59444444444443</v>
      </c>
      <c r="CU224" s="98">
        <v>291.48333333333335</v>
      </c>
      <c r="CV224" s="98">
        <v>300.37222222222226</v>
      </c>
      <c r="CW224" s="98">
        <v>281.48333333333335</v>
      </c>
      <c r="CX224" s="104">
        <v>1</v>
      </c>
      <c r="CY224" s="104">
        <v>2</v>
      </c>
      <c r="CZ224" s="104">
        <v>3</v>
      </c>
      <c r="DA224" s="104">
        <v>4</v>
      </c>
      <c r="DB224" s="104">
        <v>1</v>
      </c>
    </row>
    <row r="225" spans="15:106">
      <c r="O225" s="100">
        <v>15.5</v>
      </c>
      <c r="P225" s="5">
        <f t="shared" ref="P225:S225" ca="1" si="212">(P113+P141+P169+P197)*(91.5/1000)</f>
        <v>101.38096248064599</v>
      </c>
      <c r="Q225" s="5">
        <f t="shared" ca="1" si="212"/>
        <v>120.31026157809637</v>
      </c>
      <c r="R225" s="5">
        <f t="shared" ca="1" si="212"/>
        <v>119.12988353960435</v>
      </c>
      <c r="S225" s="5">
        <f t="shared" ca="1" si="212"/>
        <v>47.43288111067708</v>
      </c>
      <c r="U225" s="100">
        <v>15.5</v>
      </c>
      <c r="V225" s="5">
        <f t="shared" ca="1" si="195"/>
        <v>16.220953996903358</v>
      </c>
      <c r="W225" s="5">
        <f t="shared" ca="1" si="196"/>
        <v>19.249641852495419</v>
      </c>
      <c r="X225" s="5">
        <f t="shared" ca="1" si="197"/>
        <v>19.060781366336695</v>
      </c>
      <c r="Y225" s="5">
        <f t="shared" ca="1" si="198"/>
        <v>7.5892609777083333</v>
      </c>
      <c r="CM225" s="17" t="s">
        <v>256</v>
      </c>
      <c r="CN225" s="20">
        <v>42.826560000000001</v>
      </c>
      <c r="CO225" s="20">
        <v>-108.71319</v>
      </c>
      <c r="CP225" s="19">
        <v>0.20900000000000002</v>
      </c>
      <c r="CQ225" s="19">
        <v>0.36200000000000004</v>
      </c>
      <c r="CR225" s="19">
        <v>0.30599999999999999</v>
      </c>
      <c r="CS225" s="19">
        <v>0.23099999999999998</v>
      </c>
      <c r="CT225" s="98">
        <v>275.92777777777781</v>
      </c>
      <c r="CU225" s="98">
        <v>292.59444444444449</v>
      </c>
      <c r="CV225" s="98">
        <v>302.59444444444449</v>
      </c>
      <c r="CW225" s="98">
        <v>279.26111111111112</v>
      </c>
      <c r="CX225" s="104">
        <v>1</v>
      </c>
      <c r="CY225" s="104">
        <v>2</v>
      </c>
      <c r="CZ225" s="104">
        <v>3</v>
      </c>
      <c r="DA225" s="104">
        <v>4</v>
      </c>
      <c r="DB225" s="104">
        <v>1</v>
      </c>
    </row>
    <row r="226" spans="15:106">
      <c r="O226" s="100">
        <v>16.5</v>
      </c>
      <c r="P226" s="5">
        <f t="shared" ref="P226:S226" ca="1" si="213">(P114+P142+P170+P198)*(91.5/1000)</f>
        <v>17.34428283449558</v>
      </c>
      <c r="Q226" s="5">
        <f t="shared" ca="1" si="213"/>
        <v>59.237715984554427</v>
      </c>
      <c r="R226" s="5">
        <f t="shared" ca="1" si="213"/>
        <v>62.538119875623053</v>
      </c>
      <c r="S226" s="5">
        <f t="shared" ca="1" si="213"/>
        <v>0</v>
      </c>
      <c r="U226" s="100">
        <v>16.5</v>
      </c>
      <c r="V226" s="5">
        <f t="shared" ca="1" si="195"/>
        <v>2.7750852535192929</v>
      </c>
      <c r="W226" s="5">
        <f t="shared" ca="1" si="196"/>
        <v>9.4780345575287086</v>
      </c>
      <c r="X226" s="5">
        <f t="shared" ca="1" si="197"/>
        <v>10.006099180099689</v>
      </c>
      <c r="Y226" s="5">
        <f t="shared" ca="1" si="198"/>
        <v>0</v>
      </c>
      <c r="CM226" s="13" t="s">
        <v>257</v>
      </c>
      <c r="CN226" s="20">
        <v>44.789589999999997</v>
      </c>
      <c r="CO226" s="20">
        <v>-106.96544</v>
      </c>
      <c r="CP226" s="19">
        <v>0.307</v>
      </c>
      <c r="CQ226" s="19">
        <v>0.40599999999999997</v>
      </c>
      <c r="CR226" s="19">
        <v>0.32500000000000001</v>
      </c>
      <c r="CS226" s="19">
        <v>0.32599999999999996</v>
      </c>
      <c r="CT226" s="98">
        <v>277.03888888888889</v>
      </c>
      <c r="CU226" s="98">
        <v>292.59444444444449</v>
      </c>
      <c r="CV226" s="98">
        <v>304.26111111111112</v>
      </c>
      <c r="CW226" s="98">
        <v>280.92777777777781</v>
      </c>
      <c r="CX226" s="104">
        <v>1</v>
      </c>
      <c r="CY226" s="104">
        <v>2</v>
      </c>
      <c r="CZ226" s="104">
        <v>3</v>
      </c>
      <c r="DA226" s="104">
        <v>4</v>
      </c>
      <c r="DB226" s="104">
        <v>1</v>
      </c>
    </row>
    <row r="227" spans="15:106">
      <c r="O227" s="100">
        <v>17.5</v>
      </c>
      <c r="P227" s="5">
        <f t="shared" ref="P227:S227" ca="1" si="214">(P115+P143+P171+P199)*(91.5/1000)</f>
        <v>0</v>
      </c>
      <c r="Q227" s="5">
        <f t="shared" ca="1" si="214"/>
        <v>10.623756956994345</v>
      </c>
      <c r="R227" s="5">
        <f t="shared" ca="1" si="214"/>
        <v>11.008906722367625</v>
      </c>
      <c r="S227" s="5">
        <f t="shared" ca="1" si="214"/>
        <v>0</v>
      </c>
      <c r="U227" s="100">
        <v>17.5</v>
      </c>
      <c r="V227" s="5">
        <f t="shared" ca="1" si="195"/>
        <v>0</v>
      </c>
      <c r="W227" s="5">
        <f t="shared" ca="1" si="196"/>
        <v>1.6998011131190953</v>
      </c>
      <c r="X227" s="5">
        <f t="shared" ca="1" si="197"/>
        <v>1.7614250755788201</v>
      </c>
      <c r="Y227" s="5">
        <f t="shared" ca="1" si="198"/>
        <v>0</v>
      </c>
      <c r="CM227" s="13" t="s">
        <v>550</v>
      </c>
      <c r="CN227" s="155">
        <v>39.019440000000003</v>
      </c>
      <c r="CO227" s="155">
        <v>-95.691909999999993</v>
      </c>
      <c r="CP227" s="154">
        <v>0.4</v>
      </c>
      <c r="CQ227" s="154">
        <v>0.4</v>
      </c>
      <c r="CR227" s="154">
        <v>0.4</v>
      </c>
      <c r="CS227" s="154">
        <v>0.4</v>
      </c>
      <c r="CT227" s="156">
        <v>298.14999999999998</v>
      </c>
      <c r="CU227" s="156">
        <v>298.14999999999998</v>
      </c>
      <c r="CV227" s="156">
        <v>298.14999999999998</v>
      </c>
      <c r="CW227" s="156">
        <v>298.14999999999998</v>
      </c>
      <c r="CX227" s="118">
        <v>1</v>
      </c>
      <c r="CY227" s="118">
        <v>2</v>
      </c>
      <c r="CZ227" s="118">
        <v>3</v>
      </c>
      <c r="DA227" s="118">
        <v>4</v>
      </c>
      <c r="DB227" s="118">
        <v>1</v>
      </c>
    </row>
    <row r="228" spans="15:106">
      <c r="O228" s="100">
        <v>18.5</v>
      </c>
      <c r="P228" s="5">
        <f t="shared" ref="P228:S228" ca="1" si="215">(P116+P144+P172+P200)*(91.5/1000)</f>
        <v>0</v>
      </c>
      <c r="Q228" s="5">
        <f t="shared" ca="1" si="215"/>
        <v>3.0777475490221935</v>
      </c>
      <c r="R228" s="5">
        <f t="shared" ca="1" si="215"/>
        <v>3.4361474550277284</v>
      </c>
      <c r="S228" s="5">
        <f t="shared" ca="1" si="215"/>
        <v>0</v>
      </c>
      <c r="U228" s="100">
        <v>18.5</v>
      </c>
      <c r="V228" s="5">
        <f t="shared" ca="1" si="195"/>
        <v>0</v>
      </c>
      <c r="W228" s="5">
        <f t="shared" ca="1" si="196"/>
        <v>0.49243960784355095</v>
      </c>
      <c r="X228" s="5">
        <f t="shared" ca="1" si="197"/>
        <v>0.54978359280443656</v>
      </c>
      <c r="Y228" s="5">
        <f t="shared" ca="1" si="198"/>
        <v>0</v>
      </c>
    </row>
    <row r="229" spans="15:106">
      <c r="O229" s="100">
        <v>19.5</v>
      </c>
      <c r="P229" s="5">
        <f t="shared" ref="P229:S229" ca="1" si="216">(P117+P145+P173+P201)*(91.5/1000)</f>
        <v>0</v>
      </c>
      <c r="Q229" s="5">
        <f t="shared" ca="1" si="216"/>
        <v>0</v>
      </c>
      <c r="R229" s="5">
        <f t="shared" ca="1" si="216"/>
        <v>0</v>
      </c>
      <c r="S229" s="5">
        <f t="shared" ca="1" si="216"/>
        <v>0</v>
      </c>
      <c r="U229" s="100">
        <v>19.5</v>
      </c>
      <c r="V229" s="5">
        <f t="shared" ca="1" si="195"/>
        <v>0</v>
      </c>
      <c r="W229" s="5">
        <f t="shared" ca="1" si="196"/>
        <v>0</v>
      </c>
      <c r="X229" s="5">
        <f t="shared" ca="1" si="197"/>
        <v>0</v>
      </c>
      <c r="Y229" s="5">
        <f t="shared" ca="1" si="198"/>
        <v>0</v>
      </c>
    </row>
    <row r="230" spans="15:106">
      <c r="O230" s="100">
        <v>20.5</v>
      </c>
      <c r="P230" s="5">
        <f t="shared" ref="P230:S230" ca="1" si="217">(P118+P146+P174+P202)*(91.5/1000)</f>
        <v>0</v>
      </c>
      <c r="Q230" s="5">
        <f t="shared" ca="1" si="217"/>
        <v>0</v>
      </c>
      <c r="R230" s="5">
        <f t="shared" ca="1" si="217"/>
        <v>0</v>
      </c>
      <c r="S230" s="5">
        <f t="shared" ca="1" si="217"/>
        <v>0</v>
      </c>
      <c r="U230" s="100">
        <v>20.5</v>
      </c>
      <c r="V230" s="5">
        <f t="shared" ca="1" si="195"/>
        <v>0</v>
      </c>
      <c r="W230" s="5">
        <f t="shared" ca="1" si="196"/>
        <v>0</v>
      </c>
      <c r="X230" s="5">
        <f t="shared" ca="1" si="197"/>
        <v>0</v>
      </c>
      <c r="Y230" s="5">
        <f t="shared" ca="1" si="198"/>
        <v>0</v>
      </c>
    </row>
    <row r="231" spans="15:106">
      <c r="O231" s="100">
        <v>21.5</v>
      </c>
      <c r="P231" s="5">
        <f t="shared" ref="P231:S231" ca="1" si="218">(P119+P147+P175+P203)*(91.5/1000)</f>
        <v>0</v>
      </c>
      <c r="Q231" s="5">
        <f t="shared" ca="1" si="218"/>
        <v>0</v>
      </c>
      <c r="R231" s="5">
        <f t="shared" ca="1" si="218"/>
        <v>0</v>
      </c>
      <c r="S231" s="5">
        <f t="shared" ca="1" si="218"/>
        <v>0</v>
      </c>
      <c r="U231" s="100">
        <v>21.5</v>
      </c>
      <c r="V231" s="5">
        <f t="shared" ca="1" si="195"/>
        <v>0</v>
      </c>
      <c r="W231" s="5">
        <f t="shared" ca="1" si="196"/>
        <v>0</v>
      </c>
      <c r="X231" s="5">
        <f t="shared" ca="1" si="197"/>
        <v>0</v>
      </c>
      <c r="Y231" s="5">
        <f t="shared" ca="1" si="198"/>
        <v>0</v>
      </c>
    </row>
    <row r="232" spans="15:106">
      <c r="O232" s="100">
        <v>22.5</v>
      </c>
      <c r="P232" s="5">
        <f t="shared" ref="P232:S232" ca="1" si="219">(P120+P148+P176+P204)*(91.5/1000)</f>
        <v>0</v>
      </c>
      <c r="Q232" s="5">
        <f t="shared" ca="1" si="219"/>
        <v>0</v>
      </c>
      <c r="R232" s="5">
        <f t="shared" ca="1" si="219"/>
        <v>0</v>
      </c>
      <c r="S232" s="5">
        <f t="shared" ca="1" si="219"/>
        <v>0</v>
      </c>
      <c r="U232" s="100">
        <v>22.5</v>
      </c>
      <c r="V232" s="5">
        <f t="shared" ca="1" si="195"/>
        <v>0</v>
      </c>
      <c r="W232" s="5">
        <f t="shared" ca="1" si="196"/>
        <v>0</v>
      </c>
      <c r="X232" s="5">
        <f t="shared" ca="1" si="197"/>
        <v>0</v>
      </c>
      <c r="Y232" s="5">
        <f t="shared" ca="1" si="198"/>
        <v>0</v>
      </c>
    </row>
    <row r="233" spans="15:106">
      <c r="O233" s="100">
        <v>23.5</v>
      </c>
      <c r="P233" s="5">
        <f t="shared" ref="P233:S233" ca="1" si="220">(P121+P149+P177+P205)*(91.5/1000)</f>
        <v>0</v>
      </c>
      <c r="Q233" s="5">
        <f t="shared" ca="1" si="220"/>
        <v>0</v>
      </c>
      <c r="R233" s="5">
        <f t="shared" ca="1" si="220"/>
        <v>0</v>
      </c>
      <c r="S233" s="5">
        <f t="shared" ca="1" si="220"/>
        <v>0</v>
      </c>
      <c r="U233" s="100">
        <v>23.5</v>
      </c>
      <c r="V233" s="5">
        <f t="shared" ca="1" si="195"/>
        <v>0</v>
      </c>
      <c r="W233" s="5">
        <f t="shared" ca="1" si="196"/>
        <v>0</v>
      </c>
      <c r="X233" s="5">
        <f t="shared" ca="1" si="197"/>
        <v>0</v>
      </c>
      <c r="Y233" s="5">
        <f t="shared" ca="1" si="198"/>
        <v>0</v>
      </c>
    </row>
    <row r="234" spans="15:106">
      <c r="O234" t="s">
        <v>520</v>
      </c>
      <c r="P234" s="112">
        <f ca="1">SUM(P210:P233)</f>
        <v>1780.2737462585155</v>
      </c>
      <c r="Q234" s="112">
        <f t="shared" ref="Q234:S234" ca="1" si="221">SUM(Q210:Q233)</f>
        <v>1959.0957752906827</v>
      </c>
      <c r="R234" s="112">
        <f t="shared" ca="1" si="221"/>
        <v>1783.4216358034178</v>
      </c>
      <c r="S234" s="112">
        <f t="shared" ca="1" si="221"/>
        <v>1449.4006967675552</v>
      </c>
      <c r="V234" s="5">
        <f ca="1">SUM(V210:V233)</f>
        <v>284.8437994013625</v>
      </c>
      <c r="W234" s="5">
        <f t="shared" ref="W234" ca="1" si="222">SUM(W210:W233)</f>
        <v>313.45532404650925</v>
      </c>
      <c r="X234" s="5">
        <f t="shared" ref="X234" ca="1" si="223">SUM(X210:X233)</f>
        <v>285.34746172854682</v>
      </c>
      <c r="Y234" s="5">
        <f t="shared" ref="Y234" ca="1" si="224">SUM(Y210:Y233)</f>
        <v>231.90411148280884</v>
      </c>
    </row>
    <row r="235" spans="15:106">
      <c r="O235" s="56" t="s">
        <v>487</v>
      </c>
      <c r="P235" s="5">
        <f ca="1">SUM(P234:S234)</f>
        <v>6972.1918541201712</v>
      </c>
      <c r="U235" s="56" t="s">
        <v>519</v>
      </c>
      <c r="V235" s="5">
        <f ca="1">SUM(V234:Y234)</f>
        <v>1115.5506966592275</v>
      </c>
    </row>
  </sheetData>
  <sheetProtection password="A0AB" sheet="1" objects="1" scenarios="1" selectLockedCells="1"/>
  <mergeCells count="164">
    <mergeCell ref="X2:Y2"/>
    <mergeCell ref="X3:X4"/>
    <mergeCell ref="Y3:Y4"/>
    <mergeCell ref="X11:Y11"/>
    <mergeCell ref="AC3:AF3"/>
    <mergeCell ref="CN37:CO37"/>
    <mergeCell ref="O4:Q4"/>
    <mergeCell ref="CP37:CS37"/>
    <mergeCell ref="H3:M3"/>
    <mergeCell ref="O15:Q15"/>
    <mergeCell ref="O16:Q16"/>
    <mergeCell ref="O17:Q17"/>
    <mergeCell ref="AL37:AM37"/>
    <mergeCell ref="BZ127:CJ127"/>
    <mergeCell ref="CA128:CB128"/>
    <mergeCell ref="CC128:CD128"/>
    <mergeCell ref="CE128:CF128"/>
    <mergeCell ref="CG128:CH128"/>
    <mergeCell ref="CI128:CJ128"/>
    <mergeCell ref="BZ97:CJ97"/>
    <mergeCell ref="CA98:CB98"/>
    <mergeCell ref="CC98:CD98"/>
    <mergeCell ref="CE98:CF98"/>
    <mergeCell ref="CG98:CH98"/>
    <mergeCell ref="CI98:CJ98"/>
    <mergeCell ref="BZ67:CJ67"/>
    <mergeCell ref="CA68:CB68"/>
    <mergeCell ref="CC68:CD68"/>
    <mergeCell ref="CE68:CF68"/>
    <mergeCell ref="CG68:CH68"/>
    <mergeCell ref="CI68:CJ68"/>
    <mergeCell ref="BZ37:CJ37"/>
    <mergeCell ref="CA38:CB38"/>
    <mergeCell ref="CC38:CD38"/>
    <mergeCell ref="CE38:CF38"/>
    <mergeCell ref="BO127:BY127"/>
    <mergeCell ref="BP128:BQ128"/>
    <mergeCell ref="BR128:BS128"/>
    <mergeCell ref="BT128:BU128"/>
    <mergeCell ref="BV128:BW128"/>
    <mergeCell ref="BX128:BY128"/>
    <mergeCell ref="BO97:BY97"/>
    <mergeCell ref="BP98:BQ98"/>
    <mergeCell ref="BR98:BS98"/>
    <mergeCell ref="BT98:BU98"/>
    <mergeCell ref="BV98:BW98"/>
    <mergeCell ref="BX98:BY98"/>
    <mergeCell ref="BB127:BN127"/>
    <mergeCell ref="BC128:BD128"/>
    <mergeCell ref="BE128:BF128"/>
    <mergeCell ref="BG128:BH128"/>
    <mergeCell ref="BI128:BJ128"/>
    <mergeCell ref="BK128:BL128"/>
    <mergeCell ref="BM128:BN128"/>
    <mergeCell ref="BB97:BN97"/>
    <mergeCell ref="BC98:BD98"/>
    <mergeCell ref="BE98:BF98"/>
    <mergeCell ref="BG98:BH98"/>
    <mergeCell ref="BI98:BJ98"/>
    <mergeCell ref="BK98:BL98"/>
    <mergeCell ref="BM98:BN98"/>
    <mergeCell ref="AR98:AS98"/>
    <mergeCell ref="AT98:AU98"/>
    <mergeCell ref="AV98:AW98"/>
    <mergeCell ref="AX98:AY98"/>
    <mergeCell ref="AZ98:BA98"/>
    <mergeCell ref="BM38:BN38"/>
    <mergeCell ref="BB37:BN37"/>
    <mergeCell ref="BB67:BN67"/>
    <mergeCell ref="BC68:BD68"/>
    <mergeCell ref="BE68:BF68"/>
    <mergeCell ref="BG68:BH68"/>
    <mergeCell ref="BI68:BJ68"/>
    <mergeCell ref="BK68:BL68"/>
    <mergeCell ref="BM68:BN68"/>
    <mergeCell ref="BC38:BD38"/>
    <mergeCell ref="BE38:BF38"/>
    <mergeCell ref="BG38:BH38"/>
    <mergeCell ref="BI38:BJ38"/>
    <mergeCell ref="BK38:BL38"/>
    <mergeCell ref="AR38:AS38"/>
    <mergeCell ref="AT38:AU38"/>
    <mergeCell ref="AV38:AW38"/>
    <mergeCell ref="AP68:AQ68"/>
    <mergeCell ref="AR68:AS68"/>
    <mergeCell ref="AT68:AU68"/>
    <mergeCell ref="AV68:AW68"/>
    <mergeCell ref="S38:U38"/>
    <mergeCell ref="V38:X38"/>
    <mergeCell ref="Y38:AA38"/>
    <mergeCell ref="AB38:AD38"/>
    <mergeCell ref="AP38:AQ38"/>
    <mergeCell ref="DH35:DS35"/>
    <mergeCell ref="EF37:EI37"/>
    <mergeCell ref="EF36:EM36"/>
    <mergeCell ref="CT37:CW37"/>
    <mergeCell ref="AX38:AY38"/>
    <mergeCell ref="AZ38:BA38"/>
    <mergeCell ref="AO37:BA37"/>
    <mergeCell ref="AO67:BA67"/>
    <mergeCell ref="AX68:AY68"/>
    <mergeCell ref="AZ68:BA68"/>
    <mergeCell ref="BO37:BY37"/>
    <mergeCell ref="BO67:BY67"/>
    <mergeCell ref="BP68:BQ68"/>
    <mergeCell ref="BR68:BS68"/>
    <mergeCell ref="BT68:BU68"/>
    <mergeCell ref="BV68:BW68"/>
    <mergeCell ref="BX68:BY68"/>
    <mergeCell ref="BP38:BQ38"/>
    <mergeCell ref="BR38:BS38"/>
    <mergeCell ref="BT38:BU38"/>
    <mergeCell ref="BV38:BW38"/>
    <mergeCell ref="BX38:BY38"/>
    <mergeCell ref="CG38:CH38"/>
    <mergeCell ref="CI38:CJ38"/>
    <mergeCell ref="EY37:FB37"/>
    <mergeCell ref="O152:S152"/>
    <mergeCell ref="U96:Y96"/>
    <mergeCell ref="U124:Y124"/>
    <mergeCell ref="U152:Y152"/>
    <mergeCell ref="EP36:EW36"/>
    <mergeCell ref="EP37:ES37"/>
    <mergeCell ref="P67:S67"/>
    <mergeCell ref="V67:Y67"/>
    <mergeCell ref="CX37:DA37"/>
    <mergeCell ref="DH37:DK37"/>
    <mergeCell ref="DL37:DO37"/>
    <mergeCell ref="DP37:DS37"/>
    <mergeCell ref="DV37:DY37"/>
    <mergeCell ref="DU36:EC36"/>
    <mergeCell ref="AO127:BA127"/>
    <mergeCell ref="AP128:AQ128"/>
    <mergeCell ref="AR128:AS128"/>
    <mergeCell ref="AT128:AU128"/>
    <mergeCell ref="AV128:AW128"/>
    <mergeCell ref="AX128:AY128"/>
    <mergeCell ref="AZ128:BA128"/>
    <mergeCell ref="AO97:BA97"/>
    <mergeCell ref="AP98:AQ98"/>
    <mergeCell ref="U207:Y207"/>
    <mergeCell ref="H29:M29"/>
    <mergeCell ref="O180:S180"/>
    <mergeCell ref="O208:S208"/>
    <mergeCell ref="O5:Q5"/>
    <mergeCell ref="O6:Q6"/>
    <mergeCell ref="O7:Q7"/>
    <mergeCell ref="O8:Q8"/>
    <mergeCell ref="O9:Q9"/>
    <mergeCell ref="O10:Q10"/>
    <mergeCell ref="O11:Q11"/>
    <mergeCell ref="O12:Q12"/>
    <mergeCell ref="O13:Q13"/>
    <mergeCell ref="O14:Q14"/>
    <mergeCell ref="I152:M152"/>
    <mergeCell ref="O96:S96"/>
    <mergeCell ref="O124:S124"/>
    <mergeCell ref="I96:M96"/>
    <mergeCell ref="I124:M124"/>
    <mergeCell ref="J38:K38"/>
    <mergeCell ref="L38:M38"/>
    <mergeCell ref="J67:M67"/>
    <mergeCell ref="N38:O38"/>
    <mergeCell ref="P38:Q38"/>
  </mergeCells>
  <dataValidations count="8">
    <dataValidation type="list" allowBlank="1" showInputMessage="1" showErrorMessage="1" sqref="D14:D17">
      <formula1>$DD$38:$DD$58</formula1>
    </dataValidation>
    <dataValidation type="list" allowBlank="1" showInputMessage="1" showErrorMessage="1" sqref="D5">
      <formula1>$AI$40:$AI$61</formula1>
    </dataValidation>
    <dataValidation type="list" allowBlank="1" showInputMessage="1" showErrorMessage="1" sqref="D6">
      <formula1>$CM$39:$CM$227</formula1>
    </dataValidation>
    <dataValidation type="decimal" allowBlank="1" showInputMessage="1" showErrorMessage="1" error="Only values between 0 and 360 are permitted." sqref="D7">
      <formula1>0</formula1>
      <formula2>360</formula2>
    </dataValidation>
    <dataValidation type="decimal" allowBlank="1" showInputMessage="1" showErrorMessage="1" error="Only values between 0 and 120 are permitted." sqref="D8">
      <formula1>0</formula1>
      <formula2>90</formula2>
    </dataValidation>
    <dataValidation type="decimal" allowBlank="1" showInputMessage="1" showErrorMessage="1" error="The maximum value is 0.34; although most current panels operate between 0.18 to 0.22." sqref="D10">
      <formula1>0</formula1>
      <formula2>0.34</formula2>
    </dataValidation>
    <dataValidation type="decimal" allowBlank="1" showInputMessage="1" showErrorMessage="1" error="Only values between 60 and 87 are permitted." sqref="D12">
      <formula1>60</formula1>
      <formula2>87</formula2>
    </dataValidation>
    <dataValidation type="decimal" allowBlank="1" showInputMessage="1" showErrorMessage="1" error="Only values between 0.80 and 0.99 are permitted" sqref="D18">
      <formula1>0.8</formula1>
      <formula2>0.99</formula2>
    </dataValidation>
  </dataValidations>
  <pageMargins left="0.7" right="0.7" top="0.75" bottom="0.75" header="0.3" footer="0.3"/>
  <pageSetup orientation="portrait" r:id="rId1"/>
  <ignoredErrors>
    <ignoredError sqref="K37:L37 M37:N37 O37:P37" formula="1"/>
    <ignoredError sqref="A5:A20 B5:B20 A37:A63 B37:B63" numberStoredAsText="1"/>
  </ignoredErrors>
  <drawing r:id="rId2"/>
</worksheet>
</file>

<file path=xl/worksheets/sheet2.xml><?xml version="1.0" encoding="utf-8"?>
<worksheet xmlns="http://schemas.openxmlformats.org/spreadsheetml/2006/main" xmlns:r="http://schemas.openxmlformats.org/officeDocument/2006/relationships">
  <dimension ref="B1:AE218"/>
  <sheetViews>
    <sheetView workbookViewId="0">
      <selection activeCell="E21" sqref="E21"/>
    </sheetView>
  </sheetViews>
  <sheetFormatPr defaultRowHeight="15"/>
  <cols>
    <col min="2" max="2" width="12.5703125" customWidth="1"/>
    <col min="3" max="3" width="12" customWidth="1"/>
    <col min="10" max="10" width="22.140625" customWidth="1"/>
    <col min="11" max="11" width="16.85546875" customWidth="1"/>
    <col min="12" max="12" width="4.28515625" customWidth="1"/>
    <col min="13" max="13" width="22.140625" style="45" customWidth="1"/>
    <col min="14" max="14" width="14.28515625" customWidth="1"/>
    <col min="15" max="15" width="13.85546875" customWidth="1"/>
    <col min="16" max="16" width="10.42578125" customWidth="1"/>
    <col min="17" max="17" width="12.140625" customWidth="1"/>
    <col min="18" max="18" width="10.5703125" customWidth="1"/>
    <col min="19" max="19" width="10.140625" customWidth="1"/>
    <col min="23" max="23" width="17.28515625" customWidth="1"/>
    <col min="24" max="24" width="27.28515625" customWidth="1"/>
    <col min="25" max="25" width="14.140625" customWidth="1"/>
    <col min="26" max="26" width="14.7109375" customWidth="1"/>
    <col min="27" max="27" width="14.140625" customWidth="1"/>
    <col min="28" max="30" width="12.140625" customWidth="1"/>
  </cols>
  <sheetData>
    <row r="1" spans="2:31" ht="15.75" thickBot="1">
      <c r="B1" s="185" t="s">
        <v>551</v>
      </c>
      <c r="C1" s="186"/>
      <c r="D1" s="186"/>
      <c r="E1" s="186"/>
      <c r="F1" s="187"/>
      <c r="J1" s="194" t="s">
        <v>553</v>
      </c>
      <c r="K1" s="195"/>
      <c r="L1" s="195"/>
      <c r="M1" s="195"/>
      <c r="N1" s="195"/>
      <c r="O1" s="195"/>
      <c r="P1" s="195"/>
      <c r="Q1" s="195"/>
      <c r="R1" s="195"/>
      <c r="S1" s="195"/>
      <c r="T1" s="196"/>
      <c r="U1" s="57"/>
    </row>
    <row r="2" spans="2:31">
      <c r="B2" s="188" t="s">
        <v>299</v>
      </c>
      <c r="C2" s="189"/>
      <c r="D2" s="189"/>
      <c r="E2" s="189"/>
      <c r="F2" s="190"/>
      <c r="P2">
        <v>3437.9049</v>
      </c>
      <c r="Q2" s="205" t="s">
        <v>300</v>
      </c>
      <c r="R2" s="205"/>
      <c r="W2" s="202" t="s">
        <v>570</v>
      </c>
      <c r="X2" s="203"/>
      <c r="Y2" s="203"/>
      <c r="Z2" s="203"/>
      <c r="AA2" s="203"/>
      <c r="AB2" s="203"/>
      <c r="AC2" s="203"/>
      <c r="AD2" s="203"/>
      <c r="AE2" s="204"/>
    </row>
    <row r="3" spans="2:31">
      <c r="B3" s="27"/>
      <c r="C3" s="28" t="s">
        <v>301</v>
      </c>
      <c r="D3" s="28" t="s">
        <v>302</v>
      </c>
      <c r="E3" s="28" t="s">
        <v>303</v>
      </c>
      <c r="F3" s="29"/>
      <c r="J3" s="174" t="s">
        <v>304</v>
      </c>
      <c r="K3" s="174"/>
      <c r="L3" s="30"/>
      <c r="M3" s="14" t="s">
        <v>67</v>
      </c>
      <c r="N3" s="14" t="s">
        <v>68</v>
      </c>
      <c r="O3" s="14" t="s">
        <v>69</v>
      </c>
      <c r="P3" s="31" t="s">
        <v>305</v>
      </c>
      <c r="Q3" s="31" t="s">
        <v>306</v>
      </c>
      <c r="R3" s="31" t="s">
        <v>307</v>
      </c>
      <c r="S3" s="31" t="s">
        <v>308</v>
      </c>
      <c r="T3" s="31" t="s">
        <v>309</v>
      </c>
      <c r="U3" s="58"/>
      <c r="W3" s="65" t="s">
        <v>328</v>
      </c>
      <c r="X3" s="66" t="s">
        <v>329</v>
      </c>
      <c r="Y3" s="66" t="s">
        <v>332</v>
      </c>
      <c r="Z3" s="66" t="s">
        <v>548</v>
      </c>
      <c r="AA3" s="66" t="s">
        <v>385</v>
      </c>
      <c r="AB3" s="67" t="s">
        <v>384</v>
      </c>
      <c r="AC3" s="67" t="s">
        <v>386</v>
      </c>
      <c r="AD3" s="67" t="s">
        <v>390</v>
      </c>
      <c r="AE3" s="68" t="s">
        <v>337</v>
      </c>
    </row>
    <row r="4" spans="2:31">
      <c r="B4" s="27" t="s">
        <v>310</v>
      </c>
      <c r="C4" s="157">
        <v>34</v>
      </c>
      <c r="D4" s="157">
        <v>27</v>
      </c>
      <c r="E4" s="157">
        <v>45</v>
      </c>
      <c r="F4" s="29"/>
      <c r="J4" t="s">
        <v>310</v>
      </c>
      <c r="K4" s="157">
        <v>34.211550000000003</v>
      </c>
      <c r="L4" s="32">
        <f>IF(T4=$K$7,1,0)</f>
        <v>0</v>
      </c>
      <c r="M4" s="46" t="s">
        <v>70</v>
      </c>
      <c r="N4" s="33">
        <v>33.511029999999998</v>
      </c>
      <c r="O4" s="33">
        <v>-86.775000000000006</v>
      </c>
      <c r="P4" s="34">
        <f t="shared" ref="P4:P67" si="0">(PI()/180)*($K$4-N4)</f>
        <v>1.2226380476070756E-2</v>
      </c>
      <c r="Q4" s="34">
        <f t="shared" ref="Q4:Q67" si="1">(PI()/180)*($K$5-O4)</f>
        <v>-4.6283164703161052E-2</v>
      </c>
      <c r="R4" s="34">
        <f t="shared" ref="R4:R67" si="2">SIN(P4/2)*SIN(P4/2)+COS(PI()*$K$4/180)*COS(PI()*N4/180)*SIN(Q4/2)*SIN(Q4/2)</f>
        <v>4.0655909687379113E-4</v>
      </c>
      <c r="S4" s="34">
        <f>2*ATAN(SQRT(R4)/SQRT(1-R4))</f>
        <v>4.0329354350896671E-2</v>
      </c>
      <c r="T4" s="35">
        <f>$P$2*S4</f>
        <v>138.64848493678397</v>
      </c>
      <c r="U4" s="59"/>
      <c r="W4" s="78" t="s">
        <v>330</v>
      </c>
      <c r="X4" s="79" t="s">
        <v>331</v>
      </c>
      <c r="Y4" s="80">
        <v>2.6579999999999999</v>
      </c>
      <c r="Z4" s="81">
        <v>440.9</v>
      </c>
      <c r="AA4" s="82">
        <v>0.20800000000000002</v>
      </c>
      <c r="AB4" s="83">
        <v>316.14999999999998</v>
      </c>
      <c r="AC4" s="84">
        <v>-3.3999999999999998E-3</v>
      </c>
      <c r="AD4" s="84">
        <v>0.84799999999999998</v>
      </c>
      <c r="AE4" s="85" t="s">
        <v>345</v>
      </c>
    </row>
    <row r="5" spans="2:31">
      <c r="B5" s="27" t="s">
        <v>311</v>
      </c>
      <c r="C5" s="157">
        <v>-104</v>
      </c>
      <c r="D5" s="157">
        <v>18</v>
      </c>
      <c r="E5" s="157">
        <v>5</v>
      </c>
      <c r="F5" s="29"/>
      <c r="J5" t="s">
        <v>311</v>
      </c>
      <c r="K5" s="157">
        <v>-89.426829999999995</v>
      </c>
      <c r="L5" s="32">
        <f t="shared" ref="L5:L68" si="3">IF(T5=$K$7,1,0)</f>
        <v>0</v>
      </c>
      <c r="M5" s="46" t="s">
        <v>71</v>
      </c>
      <c r="N5" s="33">
        <v>30.675049999999999</v>
      </c>
      <c r="O5" s="33">
        <v>-88.062340000000006</v>
      </c>
      <c r="P5" s="34">
        <f t="shared" si="0"/>
        <v>6.1723568996779526E-2</v>
      </c>
      <c r="Q5" s="34">
        <f t="shared" si="1"/>
        <v>-2.3814843110537241E-2</v>
      </c>
      <c r="R5" s="34">
        <f t="shared" si="2"/>
        <v>1.0529888993153823E-3</v>
      </c>
      <c r="S5" s="34">
        <f t="shared" ref="S5:S68" si="4">2*ATAN(SQRT(R5)/SQRT(1-R5))</f>
        <v>6.4910976027967152E-2</v>
      </c>
      <c r="T5" s="35">
        <f t="shared" ref="T5:T68" si="5">$P$2*S5</f>
        <v>223.1577625503308</v>
      </c>
      <c r="U5" s="59"/>
      <c r="W5" s="86" t="s">
        <v>330</v>
      </c>
      <c r="X5" s="38" t="s">
        <v>336</v>
      </c>
      <c r="Y5" s="60">
        <v>2.6579999999999999</v>
      </c>
      <c r="Z5" s="69">
        <v>444.6</v>
      </c>
      <c r="AA5" s="70">
        <v>0.21</v>
      </c>
      <c r="AB5" s="71">
        <v>316.14999999999998</v>
      </c>
      <c r="AC5" s="72">
        <v>-3.3999999999999998E-3</v>
      </c>
      <c r="AD5" s="72">
        <v>0.84799999999999998</v>
      </c>
      <c r="AE5" s="87" t="s">
        <v>345</v>
      </c>
    </row>
    <row r="6" spans="2:31">
      <c r="B6" s="27"/>
      <c r="C6" s="36"/>
      <c r="D6" s="36"/>
      <c r="E6" s="36"/>
      <c r="F6" s="29"/>
      <c r="K6" s="37"/>
      <c r="L6" s="32">
        <f t="shared" si="3"/>
        <v>0</v>
      </c>
      <c r="M6" s="46" t="s">
        <v>72</v>
      </c>
      <c r="N6" s="33">
        <v>32.371130000000001</v>
      </c>
      <c r="O6" s="33">
        <v>-86.261160000000004</v>
      </c>
      <c r="P6" s="34">
        <f t="shared" si="0"/>
        <v>3.2121388619554068E-2</v>
      </c>
      <c r="Q6" s="34">
        <f t="shared" si="1"/>
        <v>-5.5251364531608747E-2</v>
      </c>
      <c r="R6" s="34">
        <f t="shared" si="2"/>
        <v>7.9083364026435381E-4</v>
      </c>
      <c r="S6" s="34">
        <f t="shared" si="4"/>
        <v>5.6250944911308172E-2</v>
      </c>
      <c r="T6" s="35">
        <f t="shared" si="5"/>
        <v>193.38539914021644</v>
      </c>
      <c r="U6" s="59"/>
      <c r="W6" s="86" t="s">
        <v>330</v>
      </c>
      <c r="X6" s="38" t="s">
        <v>333</v>
      </c>
      <c r="Y6" s="60">
        <v>2.6579999999999999</v>
      </c>
      <c r="Z6" s="69">
        <v>448.4</v>
      </c>
      <c r="AA6" s="70">
        <v>0.21199999999999999</v>
      </c>
      <c r="AB6" s="71">
        <v>316.14999999999998</v>
      </c>
      <c r="AC6" s="72">
        <v>-3.3999999999999998E-3</v>
      </c>
      <c r="AD6" s="72">
        <v>0.84799999999999998</v>
      </c>
      <c r="AE6" s="87" t="s">
        <v>345</v>
      </c>
    </row>
    <row r="7" spans="2:31">
      <c r="B7" s="27"/>
      <c r="C7" s="28" t="s">
        <v>312</v>
      </c>
      <c r="D7" s="38"/>
      <c r="E7" s="38"/>
      <c r="F7" s="29"/>
      <c r="J7" t="s">
        <v>313</v>
      </c>
      <c r="K7" s="112">
        <f>MIN(T4:T191)</f>
        <v>62.51836205688366</v>
      </c>
      <c r="L7" s="32">
        <f t="shared" si="3"/>
        <v>0</v>
      </c>
      <c r="M7" s="46" t="s">
        <v>73</v>
      </c>
      <c r="N7" s="33">
        <v>35.354419999999998</v>
      </c>
      <c r="O7" s="33">
        <v>-94.380719999999997</v>
      </c>
      <c r="P7" s="34">
        <f t="shared" si="0"/>
        <v>-1.9946844422267507E-2</v>
      </c>
      <c r="Q7" s="34">
        <f t="shared" si="1"/>
        <v>8.6461691281621914E-2</v>
      </c>
      <c r="R7" s="34">
        <f t="shared" si="2"/>
        <v>1.3591922406861517E-3</v>
      </c>
      <c r="S7" s="34">
        <f t="shared" si="4"/>
        <v>7.3751162395037248E-2</v>
      </c>
      <c r="T7" s="35">
        <f t="shared" si="5"/>
        <v>253.54948257859428</v>
      </c>
      <c r="U7" s="59"/>
      <c r="W7" s="86" t="s">
        <v>330</v>
      </c>
      <c r="X7" s="38" t="s">
        <v>334</v>
      </c>
      <c r="Y7" s="60">
        <v>2.6579999999999999</v>
      </c>
      <c r="Z7" s="69">
        <v>452.1</v>
      </c>
      <c r="AA7" s="70">
        <v>0.214</v>
      </c>
      <c r="AB7" s="71">
        <v>316.14999999999998</v>
      </c>
      <c r="AC7" s="72">
        <v>-3.3999999999999998E-3</v>
      </c>
      <c r="AD7" s="72">
        <v>0.84799999999999998</v>
      </c>
      <c r="AE7" s="87" t="s">
        <v>345</v>
      </c>
    </row>
    <row r="8" spans="2:31">
      <c r="B8" s="27" t="s">
        <v>310</v>
      </c>
      <c r="C8" s="137">
        <f>C4+SIGN(C4)*(D4/60) + SIGN(C4)*(E4/3600)</f>
        <v>34.462500000000006</v>
      </c>
      <c r="D8" s="38"/>
      <c r="E8" s="38"/>
      <c r="F8" s="29"/>
      <c r="J8" s="11" t="s">
        <v>314</v>
      </c>
      <c r="K8" s="11" t="str">
        <f>VLOOKUP(1,L4:M191,2,FALSE)</f>
        <v>Memphis, TN</v>
      </c>
      <c r="L8" s="32">
        <f t="shared" si="3"/>
        <v>0</v>
      </c>
      <c r="M8" s="46" t="s">
        <v>74</v>
      </c>
      <c r="N8" s="33">
        <v>34.737400000000001</v>
      </c>
      <c r="O8" s="33">
        <v>-92.265839999999997</v>
      </c>
      <c r="P8" s="34">
        <f t="shared" si="0"/>
        <v>-9.1778138716121539E-3</v>
      </c>
      <c r="Q8" s="34">
        <f t="shared" si="1"/>
        <v>4.9550071997044247E-2</v>
      </c>
      <c r="R8" s="34">
        <f t="shared" si="2"/>
        <v>4.3809965600637499E-4</v>
      </c>
      <c r="S8" s="34">
        <f t="shared" si="4"/>
        <v>4.1864717749527575E-2</v>
      </c>
      <c r="T8" s="35">
        <f t="shared" si="5"/>
        <v>143.92691828821782</v>
      </c>
      <c r="U8" s="59"/>
      <c r="W8" s="86" t="s">
        <v>330</v>
      </c>
      <c r="X8" s="38" t="s">
        <v>335</v>
      </c>
      <c r="Y8" s="60">
        <v>2.6579999999999999</v>
      </c>
      <c r="Z8" s="69">
        <v>455.9</v>
      </c>
      <c r="AA8" s="70">
        <v>0.21600000000000003</v>
      </c>
      <c r="AB8" s="71">
        <v>316.14999999999998</v>
      </c>
      <c r="AC8" s="72">
        <v>-3.3999999999999998E-3</v>
      </c>
      <c r="AD8" s="72">
        <v>0.84799999999999998</v>
      </c>
      <c r="AE8" s="87" t="s">
        <v>345</v>
      </c>
    </row>
    <row r="9" spans="2:31">
      <c r="B9" s="27" t="s">
        <v>311</v>
      </c>
      <c r="C9" s="137">
        <f>C5+SIGN(C5)*(D5/60)+SIGN(C5)*(E5/3600)</f>
        <v>-104.30138888888888</v>
      </c>
      <c r="D9" s="38"/>
      <c r="E9" s="38"/>
      <c r="F9" s="29"/>
      <c r="L9" s="32">
        <f t="shared" si="3"/>
        <v>0</v>
      </c>
      <c r="M9" s="47" t="s">
        <v>75</v>
      </c>
      <c r="N9" s="39">
        <v>35.185400000000001</v>
      </c>
      <c r="O9" s="39">
        <v>-111.65534</v>
      </c>
      <c r="P9" s="34">
        <f t="shared" si="0"/>
        <v>-1.6996888920546759E-2</v>
      </c>
      <c r="Q9" s="34">
        <f t="shared" si="1"/>
        <v>0.38796068731248473</v>
      </c>
      <c r="R9" s="34">
        <f t="shared" si="2"/>
        <v>2.5186850665695454E-2</v>
      </c>
      <c r="S9" s="34">
        <f t="shared" si="4"/>
        <v>0.31875506066478215</v>
      </c>
      <c r="T9" s="35">
        <f t="shared" si="5"/>
        <v>1095.8495849592518</v>
      </c>
      <c r="U9" s="59"/>
      <c r="W9" s="86" t="s">
        <v>338</v>
      </c>
      <c r="X9" s="38" t="s">
        <v>339</v>
      </c>
      <c r="Y9" s="60">
        <v>2.4159999999999999</v>
      </c>
      <c r="Z9" s="69">
        <v>397</v>
      </c>
      <c r="AA9" s="70">
        <v>0.20300000000000001</v>
      </c>
      <c r="AB9" s="71">
        <v>318.14999999999998</v>
      </c>
      <c r="AC9" s="72">
        <v>-3.5000000000000001E-3</v>
      </c>
      <c r="AD9" s="72">
        <v>0.83099999999999996</v>
      </c>
      <c r="AE9" s="87" t="s">
        <v>345</v>
      </c>
    </row>
    <row r="10" spans="2:31" ht="15.75" thickBot="1">
      <c r="B10" s="40"/>
      <c r="C10" s="41"/>
      <c r="D10" s="41"/>
      <c r="E10" s="41"/>
      <c r="F10" s="42"/>
      <c r="L10" s="32">
        <f t="shared" si="3"/>
        <v>0</v>
      </c>
      <c r="M10" s="47" t="s">
        <v>76</v>
      </c>
      <c r="N10" s="39">
        <v>33.484160000000003</v>
      </c>
      <c r="O10" s="39">
        <v>-112.06036</v>
      </c>
      <c r="P10" s="34">
        <f t="shared" si="0"/>
        <v>1.269535044608155E-2</v>
      </c>
      <c r="Q10" s="34">
        <f t="shared" si="1"/>
        <v>0.39502961984891233</v>
      </c>
      <c r="R10" s="34">
        <f t="shared" si="2"/>
        <v>2.6599721441636082E-2</v>
      </c>
      <c r="S10" s="34">
        <f t="shared" si="4"/>
        <v>0.32765209610782425</v>
      </c>
      <c r="T10" s="35">
        <f t="shared" si="5"/>
        <v>1126.4367467043598</v>
      </c>
      <c r="U10" s="59"/>
      <c r="W10" s="86" t="s">
        <v>338</v>
      </c>
      <c r="X10" s="38" t="s">
        <v>340</v>
      </c>
      <c r="Y10" s="60">
        <v>2.4159999999999999</v>
      </c>
      <c r="Z10" s="69">
        <v>401</v>
      </c>
      <c r="AA10" s="70">
        <v>0.20499999999999999</v>
      </c>
      <c r="AB10" s="71">
        <v>318.14999999999998</v>
      </c>
      <c r="AC10" s="72">
        <v>-3.5000000000000001E-3</v>
      </c>
      <c r="AD10" s="72">
        <v>0.83099999999999996</v>
      </c>
      <c r="AE10" s="87" t="s">
        <v>345</v>
      </c>
    </row>
    <row r="11" spans="2:31">
      <c r="B11" s="185" t="s">
        <v>552</v>
      </c>
      <c r="C11" s="186"/>
      <c r="D11" s="187"/>
      <c r="L11" s="32">
        <f t="shared" si="3"/>
        <v>0</v>
      </c>
      <c r="M11" s="48" t="s">
        <v>77</v>
      </c>
      <c r="N11" s="33">
        <v>32.213120000000004</v>
      </c>
      <c r="O11" s="33">
        <v>-110.91410999999999</v>
      </c>
      <c r="P11" s="34">
        <f t="shared" si="0"/>
        <v>3.4879183370630264E-2</v>
      </c>
      <c r="Q11" s="34">
        <f t="shared" si="1"/>
        <v>0.37502378329792713</v>
      </c>
      <c r="R11" s="34">
        <f t="shared" si="2"/>
        <v>2.4618130210510399E-2</v>
      </c>
      <c r="S11" s="34">
        <f t="shared" si="4"/>
        <v>0.31510533352339315</v>
      </c>
      <c r="T11" s="35">
        <f t="shared" si="5"/>
        <v>1083.3021701362077</v>
      </c>
      <c r="U11" s="59"/>
      <c r="W11" s="86" t="s">
        <v>338</v>
      </c>
      <c r="X11" s="38" t="s">
        <v>341</v>
      </c>
      <c r="Y11" s="60">
        <v>2.4159999999999999</v>
      </c>
      <c r="Z11" s="69">
        <v>405</v>
      </c>
      <c r="AA11" s="70">
        <v>0.20699999999999999</v>
      </c>
      <c r="AB11" s="71">
        <v>318.14999999999998</v>
      </c>
      <c r="AC11" s="72">
        <v>-3.5000000000000001E-3</v>
      </c>
      <c r="AD11" s="72">
        <v>0.83099999999999996</v>
      </c>
      <c r="AE11" s="87" t="s">
        <v>345</v>
      </c>
    </row>
    <row r="12" spans="2:31">
      <c r="B12" s="188" t="s">
        <v>318</v>
      </c>
      <c r="C12" s="189"/>
      <c r="D12" s="190"/>
      <c r="L12" s="32">
        <f t="shared" si="3"/>
        <v>0</v>
      </c>
      <c r="M12" s="49" t="s">
        <v>78</v>
      </c>
      <c r="N12" s="33">
        <v>32.655119999999997</v>
      </c>
      <c r="O12" s="33">
        <v>-114.60675000000001</v>
      </c>
      <c r="P12" s="34">
        <f t="shared" si="0"/>
        <v>2.7164828076815448E-2</v>
      </c>
      <c r="Q12" s="34">
        <f t="shared" si="1"/>
        <v>0.43947250938877075</v>
      </c>
      <c r="R12" s="34">
        <f t="shared" si="2"/>
        <v>3.3264700973954321E-2</v>
      </c>
      <c r="S12" s="34">
        <f t="shared" si="4"/>
        <v>0.36682548906292717</v>
      </c>
      <c r="T12" s="35">
        <f t="shared" si="5"/>
        <v>1261.1111462943338</v>
      </c>
      <c r="U12" s="59"/>
      <c r="W12" s="86" t="s">
        <v>338</v>
      </c>
      <c r="X12" s="38" t="s">
        <v>342</v>
      </c>
      <c r="Y12" s="60">
        <v>2.4159999999999999</v>
      </c>
      <c r="Z12" s="69">
        <v>408</v>
      </c>
      <c r="AA12" s="70">
        <v>0.20899999999999999</v>
      </c>
      <c r="AB12" s="71">
        <v>318.14999999999998</v>
      </c>
      <c r="AC12" s="72">
        <v>-3.5000000000000001E-3</v>
      </c>
      <c r="AD12" s="72">
        <v>0.83099999999999996</v>
      </c>
      <c r="AE12" s="87" t="s">
        <v>345</v>
      </c>
    </row>
    <row r="13" spans="2:31">
      <c r="B13" s="27"/>
      <c r="C13" s="38"/>
      <c r="D13" s="29"/>
      <c r="L13" s="32">
        <f t="shared" si="3"/>
        <v>0</v>
      </c>
      <c r="M13" s="49" t="s">
        <v>79</v>
      </c>
      <c r="N13" s="33">
        <v>39.256520000000002</v>
      </c>
      <c r="O13" s="33">
        <v>-120.71122</v>
      </c>
      <c r="P13" s="34">
        <f t="shared" si="0"/>
        <v>-8.8051337164338314E-2</v>
      </c>
      <c r="Q13" s="34">
        <f t="shared" si="1"/>
        <v>0.54601560997798881</v>
      </c>
      <c r="R13" s="34">
        <f t="shared" si="2"/>
        <v>4.8489457699664763E-2</v>
      </c>
      <c r="S13" s="34">
        <f t="shared" si="4"/>
        <v>0.44404559685604827</v>
      </c>
      <c r="T13" s="35">
        <f t="shared" si="5"/>
        <v>1526.5865332548331</v>
      </c>
      <c r="U13" s="59"/>
      <c r="W13" s="86" t="s">
        <v>338</v>
      </c>
      <c r="X13" s="38" t="s">
        <v>343</v>
      </c>
      <c r="Y13" s="60">
        <v>2.4159999999999999</v>
      </c>
      <c r="Z13" s="69">
        <v>412</v>
      </c>
      <c r="AA13" s="70">
        <v>0.21100000000000002</v>
      </c>
      <c r="AB13" s="71">
        <v>318.14999999999998</v>
      </c>
      <c r="AC13" s="72">
        <v>-3.5000000000000001E-3</v>
      </c>
      <c r="AD13" s="72">
        <v>0.83099999999999996</v>
      </c>
      <c r="AE13" s="87" t="s">
        <v>345</v>
      </c>
    </row>
    <row r="14" spans="2:31">
      <c r="B14" s="27" t="s">
        <v>316</v>
      </c>
      <c r="C14" s="157">
        <v>22</v>
      </c>
      <c r="D14" s="29"/>
      <c r="L14" s="32">
        <f t="shared" si="3"/>
        <v>0</v>
      </c>
      <c r="M14" s="49" t="s">
        <v>80</v>
      </c>
      <c r="N14" s="33">
        <v>40.797539999999998</v>
      </c>
      <c r="O14" s="33">
        <v>-124.15303</v>
      </c>
      <c r="P14" s="34">
        <f t="shared" si="0"/>
        <v>-0.11494721000342126</v>
      </c>
      <c r="Q14" s="34">
        <f t="shared" si="1"/>
        <v>0.60608652670605501</v>
      </c>
      <c r="R14" s="34">
        <f t="shared" si="2"/>
        <v>5.9052968709806142E-2</v>
      </c>
      <c r="S14" s="34">
        <f t="shared" si="4"/>
        <v>0.49093155362554813</v>
      </c>
      <c r="T14" s="35">
        <f t="shared" si="5"/>
        <v>1687.7759937738847</v>
      </c>
      <c r="U14" s="59"/>
      <c r="W14" s="86" t="s">
        <v>338</v>
      </c>
      <c r="X14" s="38" t="s">
        <v>344</v>
      </c>
      <c r="Y14" s="60">
        <v>2.4159999999999999</v>
      </c>
      <c r="Z14" s="69">
        <v>416</v>
      </c>
      <c r="AA14" s="70">
        <v>0.21299999999999999</v>
      </c>
      <c r="AB14" s="71">
        <v>318.14999999999998</v>
      </c>
      <c r="AC14" s="72">
        <v>-3.5000000000000001E-3</v>
      </c>
      <c r="AD14" s="72">
        <v>0.83099999999999996</v>
      </c>
      <c r="AE14" s="87" t="s">
        <v>345</v>
      </c>
    </row>
    <row r="15" spans="2:31">
      <c r="B15" s="27" t="s">
        <v>317</v>
      </c>
      <c r="C15" s="138">
        <f>C14/10.76391</f>
        <v>2.0438669591254479</v>
      </c>
      <c r="D15" s="29"/>
      <c r="L15" s="32">
        <f t="shared" si="3"/>
        <v>0</v>
      </c>
      <c r="M15" s="48" t="s">
        <v>81</v>
      </c>
      <c r="N15" s="33">
        <v>36.732170000000004</v>
      </c>
      <c r="O15" s="33">
        <v>-119.78995999999999</v>
      </c>
      <c r="P15" s="34">
        <f t="shared" si="0"/>
        <v>-4.3993118191619489E-2</v>
      </c>
      <c r="Q15" s="34">
        <f t="shared" si="1"/>
        <v>0.52993658971106583</v>
      </c>
      <c r="R15" s="34">
        <f t="shared" si="2"/>
        <v>4.5936457282145828E-2</v>
      </c>
      <c r="S15" s="34">
        <f t="shared" si="4"/>
        <v>0.43200741658472591</v>
      </c>
      <c r="T15" s="35">
        <f t="shared" si="5"/>
        <v>1485.2004143129705</v>
      </c>
      <c r="U15" s="59"/>
      <c r="W15" s="86" t="s">
        <v>348</v>
      </c>
      <c r="X15" s="38" t="s">
        <v>349</v>
      </c>
      <c r="Y15" s="60">
        <v>1.512</v>
      </c>
      <c r="Z15" s="69">
        <v>255</v>
      </c>
      <c r="AA15" s="70">
        <v>0.21</v>
      </c>
      <c r="AB15" s="71">
        <v>318.14999999999998</v>
      </c>
      <c r="AC15" s="72">
        <v>-4.1000000000000003E-3</v>
      </c>
      <c r="AD15" s="72">
        <v>0.8</v>
      </c>
      <c r="AE15" s="87" t="s">
        <v>345</v>
      </c>
    </row>
    <row r="16" spans="2:31" ht="15.75" thickBot="1">
      <c r="B16" s="27"/>
      <c r="C16" s="38"/>
      <c r="D16" s="29"/>
      <c r="L16" s="32">
        <f t="shared" si="3"/>
        <v>0</v>
      </c>
      <c r="M16" s="49" t="s">
        <v>82</v>
      </c>
      <c r="N16" s="33">
        <v>34.048110000000001</v>
      </c>
      <c r="O16" s="33">
        <v>-118.40611</v>
      </c>
      <c r="P16" s="34">
        <f t="shared" si="0"/>
        <v>2.8525661294595559E-3</v>
      </c>
      <c r="Q16" s="34">
        <f t="shared" si="1"/>
        <v>0.50578385085734234</v>
      </c>
      <c r="R16" s="34">
        <f t="shared" si="2"/>
        <v>4.2897175445104421E-2</v>
      </c>
      <c r="S16" s="34">
        <f t="shared" si="4"/>
        <v>0.41725290788865738</v>
      </c>
      <c r="T16" s="35">
        <f t="shared" si="5"/>
        <v>1434.4758165696639</v>
      </c>
      <c r="U16" s="59"/>
      <c r="W16" s="86" t="s">
        <v>350</v>
      </c>
      <c r="X16" s="38" t="s">
        <v>351</v>
      </c>
      <c r="Y16" s="60">
        <v>1.891</v>
      </c>
      <c r="Z16" s="69">
        <v>295</v>
      </c>
      <c r="AA16" s="70">
        <v>0.19399999999999998</v>
      </c>
      <c r="AB16" s="71">
        <v>314.14999999999998</v>
      </c>
      <c r="AC16" s="72">
        <v>-3.5000000000000001E-3</v>
      </c>
      <c r="AD16" s="72">
        <v>0.85299999999999998</v>
      </c>
      <c r="AE16" s="87" t="s">
        <v>345</v>
      </c>
    </row>
    <row r="17" spans="2:31">
      <c r="B17" s="185" t="s">
        <v>556</v>
      </c>
      <c r="C17" s="186"/>
      <c r="D17" s="186"/>
      <c r="E17" s="186"/>
      <c r="F17" s="187"/>
      <c r="L17" s="32">
        <f t="shared" si="3"/>
        <v>0</v>
      </c>
      <c r="M17" s="49" t="s">
        <v>83</v>
      </c>
      <c r="N17" s="33">
        <v>40.18318</v>
      </c>
      <c r="O17" s="33">
        <v>-122.23056</v>
      </c>
      <c r="P17" s="34">
        <f t="shared" si="0"/>
        <v>-0.10422460521086895</v>
      </c>
      <c r="Q17" s="34">
        <f t="shared" si="1"/>
        <v>0.57253309543523956</v>
      </c>
      <c r="R17" s="34">
        <f t="shared" si="2"/>
        <v>5.3088665604989094E-2</v>
      </c>
      <c r="S17" s="34">
        <f t="shared" si="4"/>
        <v>0.46499753985300812</v>
      </c>
      <c r="T17" s="35">
        <f t="shared" si="5"/>
        <v>1598.617320748602</v>
      </c>
      <c r="U17" s="59"/>
      <c r="W17" s="86" t="s">
        <v>350</v>
      </c>
      <c r="X17" s="38" t="s">
        <v>352</v>
      </c>
      <c r="Y17" s="60">
        <v>1.891</v>
      </c>
      <c r="Z17" s="69">
        <v>299</v>
      </c>
      <c r="AA17" s="70">
        <v>0.19699999999999998</v>
      </c>
      <c r="AB17" s="71">
        <v>314.14999999999998</v>
      </c>
      <c r="AC17" s="72">
        <v>-3.5000000000000001E-3</v>
      </c>
      <c r="AD17" s="72">
        <v>0.85299999999999998</v>
      </c>
      <c r="AE17" s="87" t="s">
        <v>345</v>
      </c>
    </row>
    <row r="18" spans="2:31">
      <c r="B18" s="188" t="s">
        <v>558</v>
      </c>
      <c r="C18" s="189"/>
      <c r="D18" s="189"/>
      <c r="E18" s="189"/>
      <c r="F18" s="190"/>
      <c r="L18" s="32">
        <f t="shared" si="3"/>
        <v>0</v>
      </c>
      <c r="M18" s="49" t="s">
        <v>84</v>
      </c>
      <c r="N18" s="33">
        <v>38.58708</v>
      </c>
      <c r="O18" s="33">
        <v>-121.46249</v>
      </c>
      <c r="P18" s="34">
        <f t="shared" si="0"/>
        <v>-7.6367405019787449E-2</v>
      </c>
      <c r="Q18" s="34">
        <f t="shared" si="1"/>
        <v>0.55912774504944673</v>
      </c>
      <c r="R18" s="34">
        <f t="shared" si="2"/>
        <v>5.067541205617053E-2</v>
      </c>
      <c r="S18" s="34">
        <f t="shared" si="4"/>
        <v>0.45411596797122017</v>
      </c>
      <c r="T18" s="35">
        <f t="shared" si="5"/>
        <v>1561.2075114565009</v>
      </c>
      <c r="U18" s="59"/>
      <c r="W18" s="86" t="s">
        <v>350</v>
      </c>
      <c r="X18" s="38" t="s">
        <v>353</v>
      </c>
      <c r="Y18" s="60">
        <v>1.891</v>
      </c>
      <c r="Z18" s="69">
        <v>302</v>
      </c>
      <c r="AA18" s="70">
        <v>0.19899999999999998</v>
      </c>
      <c r="AB18" s="71">
        <v>314.14999999999998</v>
      </c>
      <c r="AC18" s="72">
        <v>-3.5000000000000001E-3</v>
      </c>
      <c r="AD18" s="72">
        <v>0.85299999999999998</v>
      </c>
      <c r="AE18" s="87" t="s">
        <v>345</v>
      </c>
    </row>
    <row r="19" spans="2:31">
      <c r="B19" s="27"/>
      <c r="C19" s="38"/>
      <c r="D19" s="38"/>
      <c r="E19" s="38"/>
      <c r="F19" s="29"/>
      <c r="L19" s="32">
        <f t="shared" si="3"/>
        <v>0</v>
      </c>
      <c r="M19" s="48" t="s">
        <v>85</v>
      </c>
      <c r="N19" s="33">
        <v>32.732379999999999</v>
      </c>
      <c r="O19" s="33">
        <v>-117.14055999999999</v>
      </c>
      <c r="P19" s="34">
        <f t="shared" si="0"/>
        <v>2.5816386696724584E-2</v>
      </c>
      <c r="Q19" s="34">
        <f t="shared" si="1"/>
        <v>0.48369583650872805</v>
      </c>
      <c r="R19" s="34">
        <f t="shared" si="2"/>
        <v>4.0068285824746919E-2</v>
      </c>
      <c r="S19" s="34">
        <f t="shared" si="4"/>
        <v>0.40306416881901647</v>
      </c>
      <c r="T19" s="35">
        <f t="shared" si="5"/>
        <v>1385.6962809973238</v>
      </c>
      <c r="U19" s="59"/>
      <c r="W19" s="86" t="s">
        <v>350</v>
      </c>
      <c r="X19" s="38" t="s">
        <v>354</v>
      </c>
      <c r="Y19" s="60">
        <v>1.891</v>
      </c>
      <c r="Z19" s="69">
        <v>306</v>
      </c>
      <c r="AA19" s="70">
        <v>0.20199999999999999</v>
      </c>
      <c r="AB19" s="71">
        <v>314.14999999999998</v>
      </c>
      <c r="AC19" s="72">
        <v>-3.5000000000000001E-3</v>
      </c>
      <c r="AD19" s="72">
        <v>0.85299999999999998</v>
      </c>
      <c r="AE19" s="87" t="s">
        <v>345</v>
      </c>
    </row>
    <row r="20" spans="2:31">
      <c r="B20" s="172" t="s">
        <v>557</v>
      </c>
      <c r="C20" s="173"/>
      <c r="D20" s="173"/>
      <c r="E20" s="145">
        <v>800</v>
      </c>
      <c r="F20" s="29"/>
      <c r="L20" s="32">
        <f t="shared" si="3"/>
        <v>0</v>
      </c>
      <c r="M20" s="49" t="s">
        <v>86</v>
      </c>
      <c r="N20" s="33">
        <v>37.796480000000003</v>
      </c>
      <c r="O20" s="33">
        <v>-122.47365000000001</v>
      </c>
      <c r="P20" s="34">
        <f t="shared" si="0"/>
        <v>-6.2568831953520324E-2</v>
      </c>
      <c r="Q20" s="34">
        <f t="shared" si="1"/>
        <v>0.57677581631391273</v>
      </c>
      <c r="R20" s="34">
        <f t="shared" si="2"/>
        <v>5.3835345814500689E-2</v>
      </c>
      <c r="S20" s="34">
        <f t="shared" si="4"/>
        <v>0.46831683252527856</v>
      </c>
      <c r="T20" s="35">
        <f t="shared" si="5"/>
        <v>1610.0287332911346</v>
      </c>
      <c r="U20" s="59"/>
      <c r="W20" s="86" t="s">
        <v>350</v>
      </c>
      <c r="X20" s="38" t="s">
        <v>355</v>
      </c>
      <c r="Y20" s="60">
        <v>1.891</v>
      </c>
      <c r="Z20" s="69">
        <v>310</v>
      </c>
      <c r="AA20" s="70">
        <v>0.20499999999999999</v>
      </c>
      <c r="AB20" s="71">
        <v>314.14999999999998</v>
      </c>
      <c r="AC20" s="72">
        <v>-3.5000000000000001E-3</v>
      </c>
      <c r="AD20" s="72">
        <v>0.85299999999999998</v>
      </c>
      <c r="AE20" s="87" t="s">
        <v>345</v>
      </c>
    </row>
    <row r="21" spans="2:31">
      <c r="B21" s="172" t="s">
        <v>559</v>
      </c>
      <c r="C21" s="173"/>
      <c r="D21" s="173"/>
      <c r="E21" s="158">
        <v>286</v>
      </c>
      <c r="F21" s="29"/>
      <c r="L21" s="32">
        <f t="shared" si="3"/>
        <v>0</v>
      </c>
      <c r="M21" s="46" t="s">
        <v>87</v>
      </c>
      <c r="N21" s="33">
        <v>39.749090000000002</v>
      </c>
      <c r="O21" s="33">
        <v>-105.04810000000001</v>
      </c>
      <c r="P21" s="34">
        <f t="shared" si="0"/>
        <v>-9.6648305460886791E-2</v>
      </c>
      <c r="Q21" s="34">
        <f t="shared" si="1"/>
        <v>0.27264259484301478</v>
      </c>
      <c r="R21" s="34">
        <f t="shared" si="2"/>
        <v>1.4076068769716257E-2</v>
      </c>
      <c r="S21" s="34">
        <f t="shared" si="4"/>
        <v>0.23784544861128387</v>
      </c>
      <c r="T21" s="35">
        <f t="shared" si="5"/>
        <v>817.69003322343099</v>
      </c>
      <c r="U21" s="59"/>
      <c r="W21" s="86" t="s">
        <v>350</v>
      </c>
      <c r="X21" s="38" t="s">
        <v>356</v>
      </c>
      <c r="Y21" s="60">
        <v>1.891</v>
      </c>
      <c r="Z21" s="69">
        <v>315</v>
      </c>
      <c r="AA21" s="70">
        <v>0.20800000000000002</v>
      </c>
      <c r="AB21" s="71">
        <v>314.14999999999998</v>
      </c>
      <c r="AC21" s="72">
        <v>-3.5000000000000001E-3</v>
      </c>
      <c r="AD21" s="72">
        <v>0.85299999999999998</v>
      </c>
      <c r="AE21" s="87" t="s">
        <v>345</v>
      </c>
    </row>
    <row r="22" spans="2:31">
      <c r="B22" s="172" t="s">
        <v>554</v>
      </c>
      <c r="C22" s="173"/>
      <c r="D22" s="173"/>
      <c r="E22" s="159">
        <v>1.621</v>
      </c>
      <c r="F22" s="29"/>
      <c r="L22" s="32">
        <f t="shared" si="3"/>
        <v>0</v>
      </c>
      <c r="M22" s="48" t="s">
        <v>88</v>
      </c>
      <c r="N22" s="33">
        <v>39.081940000000003</v>
      </c>
      <c r="O22" s="33">
        <v>-108.55473000000001</v>
      </c>
      <c r="P22" s="34">
        <f t="shared" si="0"/>
        <v>-8.5004341356206631E-2</v>
      </c>
      <c r="Q22" s="34">
        <f t="shared" si="1"/>
        <v>0.33384483399222353</v>
      </c>
      <c r="R22" s="34">
        <f t="shared" si="2"/>
        <v>1.9525978641248606E-2</v>
      </c>
      <c r="S22" s="34">
        <f t="shared" si="4"/>
        <v>0.28038835147693925</v>
      </c>
      <c r="T22" s="35">
        <f t="shared" si="5"/>
        <v>963.94848744549165</v>
      </c>
      <c r="U22" s="59"/>
      <c r="W22" s="86" t="s">
        <v>357</v>
      </c>
      <c r="X22" s="38" t="s">
        <v>358</v>
      </c>
      <c r="Y22" s="60">
        <v>1.859</v>
      </c>
      <c r="Z22" s="69">
        <v>295.60000000000002</v>
      </c>
      <c r="AA22" s="70">
        <v>0.19800000000000001</v>
      </c>
      <c r="AB22" s="71">
        <v>317.14999999999998</v>
      </c>
      <c r="AC22" s="72">
        <v>-2.8999999999999998E-3</v>
      </c>
      <c r="AD22" s="72">
        <v>0.84</v>
      </c>
      <c r="AE22" s="87" t="s">
        <v>345</v>
      </c>
    </row>
    <row r="23" spans="2:31">
      <c r="B23" s="172" t="s">
        <v>555</v>
      </c>
      <c r="C23" s="173"/>
      <c r="D23" s="173"/>
      <c r="E23" s="144">
        <f>E21/(E20*E22)</f>
        <v>0.22054287476866133</v>
      </c>
      <c r="F23" s="29"/>
      <c r="L23" s="32">
        <f t="shared" si="3"/>
        <v>0</v>
      </c>
      <c r="M23" s="49" t="s">
        <v>89</v>
      </c>
      <c r="N23" s="33">
        <v>38.282829999999997</v>
      </c>
      <c r="O23" s="33">
        <v>-104.60839</v>
      </c>
      <c r="P23" s="34">
        <f t="shared" si="0"/>
        <v>-7.1057240770594637E-2</v>
      </c>
      <c r="Q23" s="34">
        <f t="shared" si="1"/>
        <v>0.26496820758907041</v>
      </c>
      <c r="R23" s="34">
        <f t="shared" si="2"/>
        <v>1.2588940101142695E-2</v>
      </c>
      <c r="S23" s="34">
        <f t="shared" si="4"/>
        <v>0.22487440780941823</v>
      </c>
      <c r="T23" s="35">
        <f t="shared" si="5"/>
        <v>773.09682849259718</v>
      </c>
      <c r="U23" s="59"/>
      <c r="W23" s="86" t="s">
        <v>357</v>
      </c>
      <c r="X23" s="38" t="s">
        <v>359</v>
      </c>
      <c r="Y23" s="60">
        <v>1.859</v>
      </c>
      <c r="Z23" s="69">
        <v>299.3</v>
      </c>
      <c r="AA23" s="70">
        <v>0.20100000000000001</v>
      </c>
      <c r="AB23" s="71">
        <v>317.14999999999998</v>
      </c>
      <c r="AC23" s="72">
        <v>-2.8999999999999998E-3</v>
      </c>
      <c r="AD23" s="72">
        <v>0.84</v>
      </c>
      <c r="AE23" s="87" t="s">
        <v>345</v>
      </c>
    </row>
    <row r="24" spans="2:31" ht="15.75" thickBot="1">
      <c r="B24" s="40"/>
      <c r="C24" s="41"/>
      <c r="D24" s="41"/>
      <c r="E24" s="41"/>
      <c r="F24" s="42"/>
      <c r="L24" s="32">
        <f t="shared" si="3"/>
        <v>0</v>
      </c>
      <c r="M24" s="46" t="s">
        <v>90</v>
      </c>
      <c r="N24" s="33">
        <v>41.765599999999999</v>
      </c>
      <c r="O24" s="33">
        <v>-72.681809999999999</v>
      </c>
      <c r="P24" s="34">
        <f t="shared" si="0"/>
        <v>-0.13184304436027758</v>
      </c>
      <c r="Q24" s="34">
        <f t="shared" si="1"/>
        <v>-0.29225573231230084</v>
      </c>
      <c r="R24" s="34">
        <f t="shared" si="2"/>
        <v>1.7416943462182435E-2</v>
      </c>
      <c r="S24" s="34">
        <f t="shared" si="4"/>
        <v>0.26471879439812163</v>
      </c>
      <c r="T24" s="35">
        <f t="shared" si="5"/>
        <v>910.07804038339486</v>
      </c>
      <c r="U24" s="59"/>
      <c r="W24" s="86" t="s">
        <v>357</v>
      </c>
      <c r="X24" s="38" t="s">
        <v>360</v>
      </c>
      <c r="Y24" s="60">
        <v>1.859</v>
      </c>
      <c r="Z24" s="69">
        <v>303.10000000000002</v>
      </c>
      <c r="AA24" s="70">
        <v>0.20300000000000001</v>
      </c>
      <c r="AB24" s="71">
        <v>317.14999999999998</v>
      </c>
      <c r="AC24" s="72">
        <v>-2.8999999999999998E-3</v>
      </c>
      <c r="AD24" s="72">
        <v>0.84</v>
      </c>
      <c r="AE24" s="87" t="s">
        <v>345</v>
      </c>
    </row>
    <row r="25" spans="2:31">
      <c r="L25" s="32">
        <f t="shared" si="3"/>
        <v>0</v>
      </c>
      <c r="M25" s="46" t="s">
        <v>91</v>
      </c>
      <c r="N25" s="33">
        <v>41.300690000000003</v>
      </c>
      <c r="O25" s="33">
        <v>-72.932270000000003</v>
      </c>
      <c r="P25" s="34">
        <f t="shared" si="0"/>
        <v>-0.12372883413483082</v>
      </c>
      <c r="Q25" s="34">
        <f t="shared" si="1"/>
        <v>-0.28788438066775573</v>
      </c>
      <c r="R25" s="34">
        <f t="shared" si="2"/>
        <v>1.660586439136149E-2</v>
      </c>
      <c r="S25" s="34">
        <f t="shared" si="4"/>
        <v>0.25844616847660423</v>
      </c>
      <c r="T25" s="35">
        <f t="shared" si="5"/>
        <v>888.51334899194319</v>
      </c>
      <c r="U25" s="59"/>
      <c r="W25" s="86" t="s">
        <v>357</v>
      </c>
      <c r="X25" s="38" t="s">
        <v>361</v>
      </c>
      <c r="Y25" s="60">
        <v>1.859</v>
      </c>
      <c r="Z25" s="69">
        <v>306.89999999999998</v>
      </c>
      <c r="AA25" s="70">
        <v>0.20600000000000002</v>
      </c>
      <c r="AB25" s="71">
        <v>317.14999999999998</v>
      </c>
      <c r="AC25" s="72">
        <v>-2.8999999999999998E-3</v>
      </c>
      <c r="AD25" s="72">
        <v>0.84</v>
      </c>
      <c r="AE25" s="87" t="s">
        <v>345</v>
      </c>
    </row>
    <row r="26" spans="2:31">
      <c r="L26" s="32">
        <f t="shared" si="3"/>
        <v>0</v>
      </c>
      <c r="M26" s="46" t="s">
        <v>92</v>
      </c>
      <c r="N26" s="33">
        <v>38.922789999999999</v>
      </c>
      <c r="O26" s="33">
        <v>-77.006370000000004</v>
      </c>
      <c r="P26" s="34">
        <f t="shared" si="0"/>
        <v>-8.2226649851657591E-2</v>
      </c>
      <c r="Q26" s="34">
        <f t="shared" si="1"/>
        <v>-0.21677792161225476</v>
      </c>
      <c r="R26" s="34">
        <f t="shared" si="2"/>
        <v>9.2182769030573104E-3</v>
      </c>
      <c r="S26" s="34">
        <f t="shared" si="4"/>
        <v>0.19231996814571306</v>
      </c>
      <c r="T26" s="35">
        <f t="shared" si="5"/>
        <v>661.17776085599087</v>
      </c>
      <c r="U26" s="59"/>
      <c r="W26" s="86" t="s">
        <v>357</v>
      </c>
      <c r="X26" s="38" t="s">
        <v>362</v>
      </c>
      <c r="Y26" s="60">
        <v>1.859</v>
      </c>
      <c r="Z26" s="69">
        <v>309.2</v>
      </c>
      <c r="AA26" s="70">
        <v>0.20800000000000002</v>
      </c>
      <c r="AB26" s="71">
        <v>317.14999999999998</v>
      </c>
      <c r="AC26" s="72">
        <v>-2.8999999999999998E-3</v>
      </c>
      <c r="AD26" s="72">
        <v>0.84</v>
      </c>
      <c r="AE26" s="87" t="s">
        <v>345</v>
      </c>
    </row>
    <row r="27" spans="2:31">
      <c r="L27" s="32">
        <f t="shared" si="3"/>
        <v>0</v>
      </c>
      <c r="M27" s="46" t="s">
        <v>93</v>
      </c>
      <c r="N27" s="33">
        <v>29.72364</v>
      </c>
      <c r="O27" s="33">
        <v>-84.983149999999995</v>
      </c>
      <c r="P27" s="34">
        <f t="shared" si="0"/>
        <v>7.8328806033178766E-2</v>
      </c>
      <c r="Q27" s="34">
        <f t="shared" si="1"/>
        <v>-7.7556846905021626E-2</v>
      </c>
      <c r="R27" s="34">
        <f t="shared" si="2"/>
        <v>2.6124709065704823E-3</v>
      </c>
      <c r="S27" s="34">
        <f t="shared" si="4"/>
        <v>0.10226923453544491</v>
      </c>
      <c r="T27" s="35">
        <f t="shared" si="5"/>
        <v>351.59190252865528</v>
      </c>
      <c r="U27" s="59"/>
      <c r="W27" s="86" t="s">
        <v>357</v>
      </c>
      <c r="X27" s="38" t="s">
        <v>363</v>
      </c>
      <c r="Y27" s="60">
        <v>1.859</v>
      </c>
      <c r="Z27" s="69">
        <v>312.7</v>
      </c>
      <c r="AA27" s="70">
        <v>0.21</v>
      </c>
      <c r="AB27" s="71">
        <v>317.14999999999998</v>
      </c>
      <c r="AC27" s="72">
        <v>-2.8999999999999998E-3</v>
      </c>
      <c r="AD27" s="72">
        <v>0.84</v>
      </c>
      <c r="AE27" s="87" t="s">
        <v>345</v>
      </c>
    </row>
    <row r="28" spans="2:31">
      <c r="L28" s="32">
        <f t="shared" si="3"/>
        <v>0</v>
      </c>
      <c r="M28" s="48" t="s">
        <v>94</v>
      </c>
      <c r="N28" s="33">
        <v>30.355360000000001</v>
      </c>
      <c r="O28" s="33">
        <v>-81.669420000000002</v>
      </c>
      <c r="P28" s="34">
        <f t="shared" si="0"/>
        <v>6.7303212082480163E-2</v>
      </c>
      <c r="Q28" s="34">
        <f t="shared" si="1"/>
        <v>-0.1353923459271332</v>
      </c>
      <c r="R28" s="34">
        <f t="shared" si="2"/>
        <v>4.3972600235041006E-3</v>
      </c>
      <c r="S28" s="34">
        <f t="shared" si="4"/>
        <v>0.13272106811636264</v>
      </c>
      <c r="T28" s="35">
        <f t="shared" si="5"/>
        <v>456.28241041047687</v>
      </c>
      <c r="U28" s="59"/>
      <c r="W28" s="86" t="s">
        <v>364</v>
      </c>
      <c r="X28" s="38" t="s">
        <v>365</v>
      </c>
      <c r="Y28" s="60">
        <v>2.238</v>
      </c>
      <c r="Z28" s="69">
        <v>351.5</v>
      </c>
      <c r="AA28" s="70">
        <v>0.19600000000000001</v>
      </c>
      <c r="AB28" s="71">
        <v>318.14999999999998</v>
      </c>
      <c r="AC28" s="72">
        <v>-3.5000000000000001E-3</v>
      </c>
      <c r="AD28" s="72">
        <v>0.82399999999999995</v>
      </c>
      <c r="AE28" s="87" t="s">
        <v>345</v>
      </c>
    </row>
    <row r="29" spans="2:31">
      <c r="L29" s="32">
        <f t="shared" si="3"/>
        <v>0</v>
      </c>
      <c r="M29" s="46" t="s">
        <v>95</v>
      </c>
      <c r="N29" s="33">
        <v>24.552309999999999</v>
      </c>
      <c r="O29" s="33">
        <v>-81.776750000000007</v>
      </c>
      <c r="P29" s="34">
        <f t="shared" si="0"/>
        <v>0.16858554124033714</v>
      </c>
      <c r="Q29" s="34">
        <f t="shared" si="1"/>
        <v>-0.1335190840409676</v>
      </c>
      <c r="R29" s="34">
        <f t="shared" si="2"/>
        <v>1.0435890423804684E-2</v>
      </c>
      <c r="S29" s="34">
        <f t="shared" si="4"/>
        <v>0.20466945493436547</v>
      </c>
      <c r="T29" s="35">
        <f t="shared" si="5"/>
        <v>703.63412199918423</v>
      </c>
      <c r="U29" s="59"/>
      <c r="W29" s="86" t="s">
        <v>364</v>
      </c>
      <c r="X29" s="38" t="s">
        <v>366</v>
      </c>
      <c r="Y29" s="60">
        <v>2.238</v>
      </c>
      <c r="Z29" s="69">
        <v>355.2</v>
      </c>
      <c r="AA29" s="70">
        <v>0.19800000000000001</v>
      </c>
      <c r="AB29" s="71">
        <v>318.14999999999998</v>
      </c>
      <c r="AC29" s="72">
        <v>-3.5000000000000001E-3</v>
      </c>
      <c r="AD29" s="72">
        <v>0.82399999999999995</v>
      </c>
      <c r="AE29" s="87" t="s">
        <v>345</v>
      </c>
    </row>
    <row r="30" spans="2:31">
      <c r="L30" s="32">
        <f t="shared" si="3"/>
        <v>0</v>
      </c>
      <c r="M30" s="48" t="s">
        <v>96</v>
      </c>
      <c r="N30" s="33">
        <v>25.770309999999998</v>
      </c>
      <c r="O30" s="33">
        <v>-80.206869999999995</v>
      </c>
      <c r="P30" s="34">
        <f t="shared" si="0"/>
        <v>0.14732743095104622</v>
      </c>
      <c r="Q30" s="34">
        <f t="shared" si="1"/>
        <v>-0.16091865890217638</v>
      </c>
      <c r="R30" s="34">
        <f t="shared" si="2"/>
        <v>1.0227240675368218E-2</v>
      </c>
      <c r="S30" s="34">
        <f t="shared" si="4"/>
        <v>0.20260599787351746</v>
      </c>
      <c r="T30" s="35">
        <f t="shared" si="5"/>
        <v>696.54015285875528</v>
      </c>
      <c r="U30" s="59"/>
      <c r="W30" s="86" t="s">
        <v>364</v>
      </c>
      <c r="X30" s="38" t="s">
        <v>367</v>
      </c>
      <c r="Y30" s="60">
        <v>2.238</v>
      </c>
      <c r="Z30" s="69">
        <v>358.9</v>
      </c>
      <c r="AA30" s="70">
        <v>0.2</v>
      </c>
      <c r="AB30" s="71">
        <v>318.14999999999998</v>
      </c>
      <c r="AC30" s="72">
        <v>-3.5000000000000001E-3</v>
      </c>
      <c r="AD30" s="72">
        <v>0.82399999999999995</v>
      </c>
      <c r="AE30" s="87" t="s">
        <v>345</v>
      </c>
    </row>
    <row r="31" spans="2:31">
      <c r="L31" s="32">
        <f t="shared" si="3"/>
        <v>0</v>
      </c>
      <c r="M31" s="49" t="s">
        <v>97</v>
      </c>
      <c r="N31" s="33">
        <v>30.4572</v>
      </c>
      <c r="O31" s="33">
        <v>-87.191299999999998</v>
      </c>
      <c r="P31" s="34">
        <f t="shared" si="0"/>
        <v>6.5525768772249152E-2</v>
      </c>
      <c r="Q31" s="34">
        <f t="shared" si="1"/>
        <v>-3.9017359027108782E-2</v>
      </c>
      <c r="R31" s="34">
        <f t="shared" si="2"/>
        <v>1.3442916550061587E-3</v>
      </c>
      <c r="S31" s="34">
        <f t="shared" si="4"/>
        <v>7.3345605474517517E-2</v>
      </c>
      <c r="T31" s="35">
        <f t="shared" si="5"/>
        <v>252.15521645431059</v>
      </c>
      <c r="U31" s="59"/>
      <c r="W31" s="86" t="s">
        <v>364</v>
      </c>
      <c r="X31" s="38" t="s">
        <v>368</v>
      </c>
      <c r="Y31" s="60">
        <v>2.238</v>
      </c>
      <c r="Z31" s="69">
        <v>362.6</v>
      </c>
      <c r="AA31" s="70">
        <v>0.20199999999999999</v>
      </c>
      <c r="AB31" s="71">
        <v>318.14999999999998</v>
      </c>
      <c r="AC31" s="72">
        <v>-3.5000000000000001E-3</v>
      </c>
      <c r="AD31" s="72">
        <v>0.82399999999999995</v>
      </c>
      <c r="AE31" s="87" t="s">
        <v>345</v>
      </c>
    </row>
    <row r="32" spans="2:31">
      <c r="L32" s="32">
        <f t="shared" si="3"/>
        <v>0</v>
      </c>
      <c r="M32" s="46" t="s">
        <v>98</v>
      </c>
      <c r="N32" s="33">
        <v>27.950030000000002</v>
      </c>
      <c r="O32" s="33">
        <v>-82.485939999999999</v>
      </c>
      <c r="P32" s="34">
        <f t="shared" si="0"/>
        <v>0.10928414017947535</v>
      </c>
      <c r="Q32" s="34">
        <f t="shared" si="1"/>
        <v>-0.12114138351874915</v>
      </c>
      <c r="R32" s="34">
        <f t="shared" si="2"/>
        <v>5.6596001169260945E-3</v>
      </c>
      <c r="S32" s="34">
        <f t="shared" si="4"/>
        <v>0.15060291480912769</v>
      </c>
      <c r="T32" s="35">
        <f t="shared" si="5"/>
        <v>517.75849877658266</v>
      </c>
      <c r="U32" s="59"/>
      <c r="W32" s="86" t="s">
        <v>364</v>
      </c>
      <c r="X32" s="38" t="s">
        <v>369</v>
      </c>
      <c r="Y32" s="60">
        <v>2.238</v>
      </c>
      <c r="Z32" s="69">
        <v>366.3</v>
      </c>
      <c r="AA32" s="70">
        <v>0.20399999999999999</v>
      </c>
      <c r="AB32" s="71">
        <v>318.14999999999998</v>
      </c>
      <c r="AC32" s="72">
        <v>-3.5000000000000001E-3</v>
      </c>
      <c r="AD32" s="72">
        <v>0.82399999999999995</v>
      </c>
      <c r="AE32" s="87" t="s">
        <v>345</v>
      </c>
    </row>
    <row r="33" spans="12:31">
      <c r="L33" s="32">
        <f t="shared" si="3"/>
        <v>0</v>
      </c>
      <c r="M33" s="46" t="s">
        <v>99</v>
      </c>
      <c r="N33" s="33">
        <v>33.755650000000003</v>
      </c>
      <c r="O33" s="33">
        <v>-84.401390000000006</v>
      </c>
      <c r="P33" s="34">
        <f t="shared" si="0"/>
        <v>7.9569560598421445E-3</v>
      </c>
      <c r="Q33" s="34">
        <f t="shared" si="1"/>
        <v>-8.7710474361423638E-2</v>
      </c>
      <c r="R33" s="34">
        <f t="shared" si="2"/>
        <v>1.3373385282529399E-3</v>
      </c>
      <c r="S33" s="34">
        <f t="shared" si="4"/>
        <v>7.3155590680139021E-2</v>
      </c>
      <c r="T33" s="35">
        <f t="shared" si="5"/>
        <v>251.50196366164428</v>
      </c>
      <c r="U33" s="59"/>
      <c r="W33" s="86" t="s">
        <v>364</v>
      </c>
      <c r="X33" s="38" t="s">
        <v>370</v>
      </c>
      <c r="Y33" s="60">
        <v>2.238</v>
      </c>
      <c r="Z33" s="69">
        <v>370</v>
      </c>
      <c r="AA33" s="70">
        <v>0.20600000000000002</v>
      </c>
      <c r="AB33" s="71">
        <v>318.14999999999998</v>
      </c>
      <c r="AC33" s="72">
        <v>-3.5000000000000001E-3</v>
      </c>
      <c r="AD33" s="72">
        <v>0.82399999999999995</v>
      </c>
      <c r="AE33" s="87" t="s">
        <v>345</v>
      </c>
    </row>
    <row r="34" spans="12:31">
      <c r="L34" s="32">
        <f t="shared" si="3"/>
        <v>0</v>
      </c>
      <c r="M34" s="46" t="s">
        <v>100</v>
      </c>
      <c r="N34" s="33">
        <v>33.464260000000003</v>
      </c>
      <c r="O34" s="33">
        <v>-81.984449999999995</v>
      </c>
      <c r="P34" s="34">
        <f t="shared" si="0"/>
        <v>1.3042670967228418E-2</v>
      </c>
      <c r="Q34" s="34">
        <f t="shared" si="1"/>
        <v>-0.1298940351845756</v>
      </c>
      <c r="R34" s="34">
        <f t="shared" si="2"/>
        <v>2.9484347530679732E-3</v>
      </c>
      <c r="S34" s="34">
        <f t="shared" si="4"/>
        <v>0.10865241965590747</v>
      </c>
      <c r="T34" s="35">
        <f t="shared" si="5"/>
        <v>373.53668593190059</v>
      </c>
      <c r="U34" s="59"/>
      <c r="W34" s="86" t="s">
        <v>364</v>
      </c>
      <c r="X34" s="38" t="s">
        <v>371</v>
      </c>
      <c r="Y34" s="60">
        <v>2.238</v>
      </c>
      <c r="Z34" s="69">
        <v>373.7</v>
      </c>
      <c r="AA34" s="70">
        <v>0.20899999999999999</v>
      </c>
      <c r="AB34" s="71">
        <v>318.14999999999998</v>
      </c>
      <c r="AC34" s="72">
        <v>-3.5000000000000001E-3</v>
      </c>
      <c r="AD34" s="72">
        <v>0.82399999999999995</v>
      </c>
      <c r="AE34" s="87" t="s">
        <v>345</v>
      </c>
    </row>
    <row r="35" spans="12:31">
      <c r="L35" s="32">
        <f t="shared" si="3"/>
        <v>0</v>
      </c>
      <c r="M35" s="46" t="s">
        <v>101</v>
      </c>
      <c r="N35" s="33">
        <v>32.829810000000002</v>
      </c>
      <c r="O35" s="33">
        <v>-83.64658</v>
      </c>
      <c r="P35" s="34">
        <f t="shared" si="0"/>
        <v>2.411591240650646E-2</v>
      </c>
      <c r="Q35" s="34">
        <f t="shared" si="1"/>
        <v>-0.10088439408840215</v>
      </c>
      <c r="R35" s="34">
        <f t="shared" si="2"/>
        <v>1.911971516020869E-3</v>
      </c>
      <c r="S35" s="34">
        <f t="shared" si="4"/>
        <v>8.7480084708434505E-2</v>
      </c>
      <c r="T35" s="35">
        <f t="shared" si="5"/>
        <v>300.74821187154208</v>
      </c>
      <c r="U35" s="59"/>
      <c r="W35" s="88" t="s">
        <v>372</v>
      </c>
      <c r="X35" s="36" t="s">
        <v>373</v>
      </c>
      <c r="Y35" s="73">
        <v>1.681</v>
      </c>
      <c r="Z35" s="74">
        <v>288.8</v>
      </c>
      <c r="AA35" s="75">
        <v>0.214</v>
      </c>
      <c r="AB35" s="76">
        <v>316.14999999999998</v>
      </c>
      <c r="AC35" s="77">
        <v>-3.3999999999999998E-3</v>
      </c>
      <c r="AD35" s="77">
        <v>0.86</v>
      </c>
      <c r="AE35" s="87" t="s">
        <v>345</v>
      </c>
    </row>
    <row r="36" spans="12:31">
      <c r="L36" s="32">
        <f t="shared" si="3"/>
        <v>0</v>
      </c>
      <c r="M36" s="46" t="s">
        <v>102</v>
      </c>
      <c r="N36" s="33">
        <v>32.068080000000002</v>
      </c>
      <c r="O36" s="33">
        <v>-81.087360000000004</v>
      </c>
      <c r="P36" s="34">
        <f t="shared" si="0"/>
        <v>3.7410608917722868E-2</v>
      </c>
      <c r="Q36" s="34">
        <f t="shared" si="1"/>
        <v>-0.14555120937129137</v>
      </c>
      <c r="R36" s="34">
        <f t="shared" si="2"/>
        <v>4.0548688756663412E-3</v>
      </c>
      <c r="S36" s="34">
        <f t="shared" si="4"/>
        <v>0.12744193050894853</v>
      </c>
      <c r="T36" s="35">
        <f t="shared" si="5"/>
        <v>438.13323736217365</v>
      </c>
      <c r="U36" s="59"/>
      <c r="W36" s="88" t="s">
        <v>372</v>
      </c>
      <c r="X36" s="36" t="s">
        <v>374</v>
      </c>
      <c r="Y36" s="73">
        <v>1.681</v>
      </c>
      <c r="Z36" s="74">
        <v>292.60000000000002</v>
      </c>
      <c r="AA36" s="75">
        <v>0.217</v>
      </c>
      <c r="AB36" s="76">
        <v>316.14999999999998</v>
      </c>
      <c r="AC36" s="77">
        <v>-3.3999999999999998E-3</v>
      </c>
      <c r="AD36" s="77">
        <v>0.86</v>
      </c>
      <c r="AE36" s="87" t="s">
        <v>345</v>
      </c>
    </row>
    <row r="37" spans="12:31">
      <c r="L37" s="32">
        <f t="shared" si="3"/>
        <v>0</v>
      </c>
      <c r="M37" s="46" t="s">
        <v>103</v>
      </c>
      <c r="N37" s="33">
        <v>40.798439999999999</v>
      </c>
      <c r="O37" s="33">
        <v>-91.118440000000007</v>
      </c>
      <c r="P37" s="34">
        <f t="shared" si="0"/>
        <v>-0.11496291796668924</v>
      </c>
      <c r="Q37" s="34">
        <f t="shared" si="1"/>
        <v>2.9524164159661477E-2</v>
      </c>
      <c r="R37" s="34">
        <f t="shared" si="2"/>
        <v>3.4368935020722526E-3</v>
      </c>
      <c r="S37" s="34">
        <f t="shared" si="4"/>
        <v>0.1173173158180493</v>
      </c>
      <c r="T37" s="35">
        <f t="shared" si="5"/>
        <v>403.32577490571919</v>
      </c>
      <c r="U37" s="59"/>
      <c r="W37" s="88" t="s">
        <v>372</v>
      </c>
      <c r="X37" s="36" t="s">
        <v>375</v>
      </c>
      <c r="Y37" s="73">
        <v>1.681</v>
      </c>
      <c r="Z37" s="74">
        <v>296.3</v>
      </c>
      <c r="AA37" s="75">
        <v>0.22</v>
      </c>
      <c r="AB37" s="76">
        <v>316.14999999999998</v>
      </c>
      <c r="AC37" s="77">
        <v>-3.3999999999999998E-3</v>
      </c>
      <c r="AD37" s="77">
        <v>0.86</v>
      </c>
      <c r="AE37" s="87" t="s">
        <v>345</v>
      </c>
    </row>
    <row r="38" spans="12:31">
      <c r="L38" s="32">
        <f t="shared" si="3"/>
        <v>0</v>
      </c>
      <c r="M38" s="46" t="s">
        <v>104</v>
      </c>
      <c r="N38" s="33">
        <v>41.568579999999997</v>
      </c>
      <c r="O38" s="33">
        <v>-93.590909999999994</v>
      </c>
      <c r="P38" s="34">
        <f t="shared" si="0"/>
        <v>-0.12840439666799833</v>
      </c>
      <c r="Q38" s="34">
        <f t="shared" si="1"/>
        <v>7.2676906316445453E-2</v>
      </c>
      <c r="R38" s="34">
        <f t="shared" si="2"/>
        <v>4.9328926606090322E-3</v>
      </c>
      <c r="S38" s="34">
        <f t="shared" si="4"/>
        <v>0.14058485282937702</v>
      </c>
      <c r="T38" s="35">
        <f t="shared" si="5"/>
        <v>483.31735440789413</v>
      </c>
      <c r="U38" s="59"/>
      <c r="W38" s="88" t="s">
        <v>372</v>
      </c>
      <c r="X38" s="36" t="s">
        <v>376</v>
      </c>
      <c r="Y38" s="73">
        <v>1.681</v>
      </c>
      <c r="Z38" s="74">
        <v>300.10000000000002</v>
      </c>
      <c r="AA38" s="75">
        <v>0.223</v>
      </c>
      <c r="AB38" s="76">
        <v>316.14999999999998</v>
      </c>
      <c r="AC38" s="77">
        <v>-3.3999999999999998E-3</v>
      </c>
      <c r="AD38" s="77">
        <v>0.86</v>
      </c>
      <c r="AE38" s="87" t="s">
        <v>345</v>
      </c>
    </row>
    <row r="39" spans="12:31">
      <c r="L39" s="32">
        <f t="shared" si="3"/>
        <v>0</v>
      </c>
      <c r="M39" s="46" t="s">
        <v>105</v>
      </c>
      <c r="N39" s="33">
        <v>42.510939999999998</v>
      </c>
      <c r="O39" s="33">
        <v>-90.698679999999996</v>
      </c>
      <c r="P39" s="34">
        <f t="shared" si="0"/>
        <v>-0.14485168140709212</v>
      </c>
      <c r="Q39" s="34">
        <f t="shared" si="1"/>
        <v>2.2197970091489889E-2</v>
      </c>
      <c r="R39" s="34">
        <f t="shared" si="2"/>
        <v>5.3114287414378347E-3</v>
      </c>
      <c r="S39" s="34">
        <f t="shared" si="4"/>
        <v>0.14588843997760256</v>
      </c>
      <c r="T39" s="35">
        <f t="shared" si="5"/>
        <v>501.55058265235573</v>
      </c>
      <c r="U39" s="59"/>
      <c r="W39" s="88" t="s">
        <v>372</v>
      </c>
      <c r="X39" s="36" t="s">
        <v>377</v>
      </c>
      <c r="Y39" s="73">
        <v>1.681</v>
      </c>
      <c r="Z39" s="74">
        <v>303.8</v>
      </c>
      <c r="AA39" s="75">
        <v>0.22500000000000001</v>
      </c>
      <c r="AB39" s="76">
        <v>316.14999999999998</v>
      </c>
      <c r="AC39" s="77">
        <v>-3.3999999999999998E-3</v>
      </c>
      <c r="AD39" s="77">
        <v>0.86</v>
      </c>
      <c r="AE39" s="87" t="s">
        <v>345</v>
      </c>
    </row>
    <row r="40" spans="12:31">
      <c r="L40" s="32">
        <f t="shared" si="3"/>
        <v>0</v>
      </c>
      <c r="M40" s="46" t="s">
        <v>106</v>
      </c>
      <c r="N40" s="33">
        <v>42.495489999999997</v>
      </c>
      <c r="O40" s="33">
        <v>-96.372429999999994</v>
      </c>
      <c r="P40" s="34">
        <f t="shared" si="0"/>
        <v>-0.14458202803765896</v>
      </c>
      <c r="Q40" s="34">
        <f t="shared" si="1"/>
        <v>0.12122358852651813</v>
      </c>
      <c r="R40" s="34">
        <f t="shared" si="2"/>
        <v>7.4542380790204432E-3</v>
      </c>
      <c r="S40" s="34">
        <f t="shared" si="4"/>
        <v>0.17289110975075359</v>
      </c>
      <c r="T40" s="35">
        <f t="shared" si="5"/>
        <v>594.38319337855353</v>
      </c>
      <c r="U40" s="59"/>
      <c r="W40" s="88" t="s">
        <v>378</v>
      </c>
      <c r="X40" s="36" t="s">
        <v>379</v>
      </c>
      <c r="Y40" s="73">
        <v>1.621</v>
      </c>
      <c r="Z40" s="74">
        <v>286</v>
      </c>
      <c r="AA40" s="75">
        <v>0.22</v>
      </c>
      <c r="AB40" s="76">
        <v>317.14999999999998</v>
      </c>
      <c r="AC40" s="77">
        <v>-3.0000000000000001E-3</v>
      </c>
      <c r="AD40" s="77">
        <v>0.90800000000000003</v>
      </c>
      <c r="AE40" s="87" t="s">
        <v>345</v>
      </c>
    </row>
    <row r="41" spans="12:31">
      <c r="L41" s="32">
        <f t="shared" si="3"/>
        <v>0</v>
      </c>
      <c r="M41" s="46" t="s">
        <v>107</v>
      </c>
      <c r="N41" s="33">
        <v>43.608490000000003</v>
      </c>
      <c r="O41" s="33">
        <v>-116.23133</v>
      </c>
      <c r="P41" s="34">
        <f t="shared" si="0"/>
        <v>-0.16400754261235598</v>
      </c>
      <c r="Q41" s="34">
        <f t="shared" si="1"/>
        <v>0.46782677935082012</v>
      </c>
      <c r="R41" s="34">
        <f t="shared" si="2"/>
        <v>3.8878995228125678E-2</v>
      </c>
      <c r="S41" s="34">
        <f t="shared" si="4"/>
        <v>0.39695627112305126</v>
      </c>
      <c r="T41" s="35">
        <f t="shared" si="5"/>
        <v>1364.6979095796664</v>
      </c>
      <c r="U41" s="59"/>
      <c r="W41" s="88" t="s">
        <v>378</v>
      </c>
      <c r="X41" s="36" t="s">
        <v>380</v>
      </c>
      <c r="Y41" s="73">
        <v>1.621</v>
      </c>
      <c r="Z41" s="74">
        <v>282</v>
      </c>
      <c r="AA41" s="75">
        <v>0.217</v>
      </c>
      <c r="AB41" s="76">
        <v>317.14999999999998</v>
      </c>
      <c r="AC41" s="77">
        <v>-3.0000000000000001E-3</v>
      </c>
      <c r="AD41" s="77">
        <v>0.90800000000000003</v>
      </c>
      <c r="AE41" s="87" t="s">
        <v>345</v>
      </c>
    </row>
    <row r="42" spans="12:31">
      <c r="L42" s="32">
        <f t="shared" si="3"/>
        <v>0</v>
      </c>
      <c r="M42" s="46" t="s">
        <v>108</v>
      </c>
      <c r="N42" s="33">
        <v>46.379359999999998</v>
      </c>
      <c r="O42" s="33">
        <v>-117.01649</v>
      </c>
      <c r="P42" s="34">
        <f t="shared" si="0"/>
        <v>-0.21236834725709117</v>
      </c>
      <c r="Q42" s="34">
        <f t="shared" si="1"/>
        <v>0.48153040650577889</v>
      </c>
      <c r="R42" s="34">
        <f t="shared" si="2"/>
        <v>4.3669831842880084E-2</v>
      </c>
      <c r="S42" s="34">
        <f t="shared" si="4"/>
        <v>0.42104988319795877</v>
      </c>
      <c r="T42" s="35">
        <f t="shared" si="5"/>
        <v>1447.5294565906902</v>
      </c>
      <c r="U42" s="59"/>
      <c r="W42" s="88" t="s">
        <v>378</v>
      </c>
      <c r="X42" s="36" t="s">
        <v>381</v>
      </c>
      <c r="Y42" s="73">
        <v>1.621</v>
      </c>
      <c r="Z42" s="74">
        <v>279</v>
      </c>
      <c r="AA42" s="75">
        <v>0.215</v>
      </c>
      <c r="AB42" s="76">
        <v>317.14999999999998</v>
      </c>
      <c r="AC42" s="77">
        <v>-3.0000000000000001E-3</v>
      </c>
      <c r="AD42" s="77">
        <v>0.90800000000000003</v>
      </c>
      <c r="AE42" s="87" t="s">
        <v>345</v>
      </c>
    </row>
    <row r="43" spans="12:31">
      <c r="L43" s="32">
        <f t="shared" si="3"/>
        <v>0</v>
      </c>
      <c r="M43" s="46" t="s">
        <v>109</v>
      </c>
      <c r="N43" s="33">
        <v>42.860550000000003</v>
      </c>
      <c r="O43" s="33">
        <v>-112.42555</v>
      </c>
      <c r="P43" s="34">
        <f t="shared" si="0"/>
        <v>-0.15095352700498957</v>
      </c>
      <c r="Q43" s="34">
        <f t="shared" si="1"/>
        <v>0.40140338774427037</v>
      </c>
      <c r="R43" s="34">
        <f t="shared" si="2"/>
        <v>2.9777329324320367E-2</v>
      </c>
      <c r="S43" s="34">
        <f t="shared" si="4"/>
        <v>0.34685834657816034</v>
      </c>
      <c r="T43" s="35">
        <f t="shared" si="5"/>
        <v>1192.4660093069556</v>
      </c>
      <c r="U43" s="59"/>
      <c r="W43" s="88" t="s">
        <v>378</v>
      </c>
      <c r="X43" s="36" t="s">
        <v>382</v>
      </c>
      <c r="Y43" s="73">
        <v>1.621</v>
      </c>
      <c r="Z43" s="74">
        <v>275</v>
      </c>
      <c r="AA43" s="75">
        <v>0.21199999999999999</v>
      </c>
      <c r="AB43" s="76">
        <v>317.14999999999998</v>
      </c>
      <c r="AC43" s="77">
        <v>-3.0000000000000001E-3</v>
      </c>
      <c r="AD43" s="77">
        <v>0.90800000000000003</v>
      </c>
      <c r="AE43" s="87" t="s">
        <v>345</v>
      </c>
    </row>
    <row r="44" spans="12:31">
      <c r="L44" s="32">
        <f t="shared" si="3"/>
        <v>0</v>
      </c>
      <c r="M44" s="46" t="s">
        <v>110</v>
      </c>
      <c r="N44" s="33">
        <v>37.010269999999998</v>
      </c>
      <c r="O44" s="33">
        <v>-89.186220000000006</v>
      </c>
      <c r="P44" s="34">
        <f t="shared" si="0"/>
        <v>-4.8846878841415628E-2</v>
      </c>
      <c r="Q44" s="34">
        <f t="shared" si="1"/>
        <v>-4.1994367132233744E-3</v>
      </c>
      <c r="R44" s="34">
        <f t="shared" si="2"/>
        <v>5.9929718218982447E-4</v>
      </c>
      <c r="S44" s="34">
        <f t="shared" si="4"/>
        <v>4.8965985725085398E-2</v>
      </c>
      <c r="T44" s="35">
        <f t="shared" si="5"/>
        <v>168.34040225760114</v>
      </c>
      <c r="U44" s="59"/>
      <c r="W44" s="86"/>
      <c r="X44" s="38"/>
      <c r="Y44" s="38"/>
      <c r="Z44" s="61" t="s">
        <v>388</v>
      </c>
      <c r="AA44" s="62">
        <f>AVERAGE(AA4:AA43)</f>
        <v>0.208175</v>
      </c>
      <c r="AB44" s="63">
        <f t="shared" ref="AB44:AD44" si="6">AVERAGE(AB4:AB43)</f>
        <v>316.79999999999978</v>
      </c>
      <c r="AC44" s="64">
        <f t="shared" si="6"/>
        <v>-3.350000000000001E-3</v>
      </c>
      <c r="AD44" s="64">
        <f t="shared" si="6"/>
        <v>0.84710000000000019</v>
      </c>
      <c r="AE44" s="89"/>
    </row>
    <row r="45" spans="12:31">
      <c r="L45" s="32">
        <f t="shared" si="3"/>
        <v>0</v>
      </c>
      <c r="M45" s="46" t="s">
        <v>111</v>
      </c>
      <c r="N45" s="33">
        <v>41.784959999999998</v>
      </c>
      <c r="O45" s="33">
        <v>-87.751919999999998</v>
      </c>
      <c r="P45" s="34">
        <f t="shared" si="0"/>
        <v>-0.13218094010346368</v>
      </c>
      <c r="Q45" s="34">
        <f t="shared" si="1"/>
        <v>-2.9232694174578171E-2</v>
      </c>
      <c r="R45" s="34">
        <f t="shared" si="2"/>
        <v>4.4933200109459788E-3</v>
      </c>
      <c r="S45" s="34">
        <f t="shared" si="4"/>
        <v>0.13416506490964122</v>
      </c>
      <c r="T45" s="35">
        <f t="shared" si="5"/>
        <v>461.24673406167364</v>
      </c>
      <c r="U45" s="59"/>
      <c r="W45" s="90"/>
      <c r="X45" s="91"/>
      <c r="Y45" s="91"/>
      <c r="Z45" s="92" t="s">
        <v>389</v>
      </c>
      <c r="AA45" s="93">
        <f>STDEV(AA4:AA43)</f>
        <v>7.5917887490535747E-3</v>
      </c>
      <c r="AB45" s="94">
        <f t="shared" ref="AB45:AC45" si="7">STDEV(AB4:AB43)</f>
        <v>1.369072304320295</v>
      </c>
      <c r="AC45" s="95">
        <f t="shared" si="7"/>
        <v>2.6409011670940996E-4</v>
      </c>
      <c r="AD45" s="96">
        <f t="shared" ref="AD45" si="8">STDEV(AD4:AD43)</f>
        <v>2.4647046944348605E-2</v>
      </c>
      <c r="AE45" s="97"/>
    </row>
    <row r="46" spans="12:31">
      <c r="L46" s="32">
        <f t="shared" si="3"/>
        <v>0</v>
      </c>
      <c r="M46" s="46" t="s">
        <v>112</v>
      </c>
      <c r="N46" s="33">
        <v>41.48113</v>
      </c>
      <c r="O46" s="33">
        <v>-90.467349999999996</v>
      </c>
      <c r="P46" s="34">
        <f t="shared" si="0"/>
        <v>-0.12687810623712933</v>
      </c>
      <c r="Q46" s="34">
        <f t="shared" si="1"/>
        <v>1.8160499932851411E-2</v>
      </c>
      <c r="R46" s="34">
        <f t="shared" si="2"/>
        <v>4.0701978936956281E-3</v>
      </c>
      <c r="S46" s="34">
        <f t="shared" si="4"/>
        <v>0.12768292106345458</v>
      </c>
      <c r="T46" s="35">
        <f t="shared" si="5"/>
        <v>438.96173997036374</v>
      </c>
      <c r="U46" s="59"/>
      <c r="W46" s="199" t="s">
        <v>346</v>
      </c>
      <c r="X46" s="200"/>
      <c r="Y46" s="200"/>
      <c r="Z46" s="200"/>
      <c r="AA46" s="200"/>
      <c r="AB46" s="200"/>
      <c r="AC46" s="200"/>
      <c r="AD46" s="200"/>
      <c r="AE46" s="201"/>
    </row>
    <row r="47" spans="12:31">
      <c r="L47" s="32">
        <f t="shared" si="3"/>
        <v>0</v>
      </c>
      <c r="M47" s="46" t="s">
        <v>113</v>
      </c>
      <c r="N47" s="33">
        <v>40.734360000000002</v>
      </c>
      <c r="O47" s="33">
        <v>-89.587890000000002</v>
      </c>
      <c r="P47" s="34">
        <f t="shared" si="0"/>
        <v>-0.11384451098201133</v>
      </c>
      <c r="Q47" s="34">
        <f t="shared" si="1"/>
        <v>2.8110272932621752E-3</v>
      </c>
      <c r="R47" s="34">
        <f t="shared" si="2"/>
        <v>3.2378830570649608E-3</v>
      </c>
      <c r="S47" s="34">
        <f t="shared" si="4"/>
        <v>0.11386630288765083</v>
      </c>
      <c r="T47" s="35">
        <f t="shared" si="5"/>
        <v>391.46152064233894</v>
      </c>
      <c r="U47" s="59"/>
      <c r="W47" s="197" t="s">
        <v>347</v>
      </c>
      <c r="X47" s="173"/>
      <c r="Y47" s="173"/>
      <c r="Z47" s="173"/>
      <c r="AA47" s="173"/>
      <c r="AB47" s="173"/>
      <c r="AC47" s="173"/>
      <c r="AD47" s="173"/>
      <c r="AE47" s="198"/>
    </row>
    <row r="48" spans="12:31">
      <c r="L48" s="32">
        <f t="shared" si="3"/>
        <v>0</v>
      </c>
      <c r="M48" s="46" t="s">
        <v>114</v>
      </c>
      <c r="N48" s="33">
        <v>39.769359999999999</v>
      </c>
      <c r="O48" s="33">
        <v>-89.635480000000001</v>
      </c>
      <c r="P48" s="34">
        <f t="shared" si="0"/>
        <v>-9.7002083700265987E-2</v>
      </c>
      <c r="Q48" s="34">
        <f t="shared" si="1"/>
        <v>3.6416294842862695E-3</v>
      </c>
      <c r="R48" s="34">
        <f t="shared" si="2"/>
        <v>2.3526144588111959E-3</v>
      </c>
      <c r="S48" s="34">
        <f t="shared" si="4"/>
        <v>9.7045591528974809E-2</v>
      </c>
      <c r="T48" s="35">
        <f t="shared" si="5"/>
        <v>333.63351464086099</v>
      </c>
      <c r="U48" s="59"/>
      <c r="W48" s="197" t="s">
        <v>383</v>
      </c>
      <c r="X48" s="173"/>
      <c r="Y48" s="173"/>
      <c r="Z48" s="173"/>
      <c r="AA48" s="173"/>
      <c r="AB48" s="173"/>
      <c r="AC48" s="173"/>
      <c r="AD48" s="173"/>
      <c r="AE48" s="198"/>
    </row>
    <row r="49" spans="12:31">
      <c r="L49" s="32">
        <f t="shared" si="3"/>
        <v>0</v>
      </c>
      <c r="M49" s="46" t="s">
        <v>115</v>
      </c>
      <c r="N49" s="33">
        <v>38.087229999999998</v>
      </c>
      <c r="O49" s="33">
        <v>-89.937610000000006</v>
      </c>
      <c r="P49" s="34">
        <f t="shared" si="0"/>
        <v>-6.7643376753693751E-2</v>
      </c>
      <c r="Q49" s="34">
        <f t="shared" si="1"/>
        <v>8.9147927533368299E-3</v>
      </c>
      <c r="R49" s="34">
        <f t="shared" si="2"/>
        <v>1.1564024078305488E-3</v>
      </c>
      <c r="S49" s="34">
        <f t="shared" si="4"/>
        <v>6.8024949495416792E-2</v>
      </c>
      <c r="T49" s="35">
        <f t="shared" si="5"/>
        <v>233.8633071925459</v>
      </c>
      <c r="U49" s="59"/>
      <c r="W49" s="191" t="s">
        <v>387</v>
      </c>
      <c r="X49" s="192"/>
      <c r="Y49" s="192"/>
      <c r="Z49" s="192"/>
      <c r="AA49" s="192"/>
      <c r="AB49" s="192"/>
      <c r="AC49" s="192"/>
      <c r="AD49" s="192"/>
      <c r="AE49" s="193"/>
    </row>
    <row r="50" spans="12:31">
      <c r="L50" s="32">
        <f t="shared" si="3"/>
        <v>0</v>
      </c>
      <c r="M50" s="46" t="s">
        <v>116</v>
      </c>
      <c r="N50" s="33">
        <v>41.088799999999999</v>
      </c>
      <c r="O50" s="33">
        <v>-85.138549999999995</v>
      </c>
      <c r="P50" s="34">
        <f t="shared" si="0"/>
        <v>-0.12003065598277997</v>
      </c>
      <c r="Q50" s="34">
        <f t="shared" si="1"/>
        <v>-7.4844605247422438E-2</v>
      </c>
      <c r="R50" s="34">
        <f t="shared" si="2"/>
        <v>4.4699669934489279E-3</v>
      </c>
      <c r="S50" s="34">
        <f t="shared" si="4"/>
        <v>0.13381544183933966</v>
      </c>
      <c r="T50" s="35">
        <f t="shared" si="5"/>
        <v>460.04476319513083</v>
      </c>
      <c r="U50" s="59"/>
    </row>
    <row r="51" spans="12:31">
      <c r="L51" s="32">
        <f t="shared" si="3"/>
        <v>0</v>
      </c>
      <c r="M51" s="46" t="s">
        <v>117</v>
      </c>
      <c r="N51" s="33">
        <v>39.759680000000003</v>
      </c>
      <c r="O51" s="33">
        <v>-86.163659999999993</v>
      </c>
      <c r="P51" s="34">
        <f t="shared" si="0"/>
        <v>-9.6833135828673006E-2</v>
      </c>
      <c r="Q51" s="34">
        <f t="shared" si="1"/>
        <v>-5.6953060552303404E-2</v>
      </c>
      <c r="R51" s="34">
        <f t="shared" si="2"/>
        <v>2.8577051681638551E-3</v>
      </c>
      <c r="S51" s="34">
        <f t="shared" si="4"/>
        <v>0.10696600365124882</v>
      </c>
      <c r="T51" s="35">
        <f t="shared" si="5"/>
        <v>367.73894808604621</v>
      </c>
      <c r="U51" s="59"/>
    </row>
    <row r="52" spans="12:31">
      <c r="L52" s="32">
        <f t="shared" si="3"/>
        <v>0</v>
      </c>
      <c r="M52" s="46" t="s">
        <v>118</v>
      </c>
      <c r="N52" s="33">
        <v>39.465789999999998</v>
      </c>
      <c r="O52" s="33">
        <v>-87.356759999999994</v>
      </c>
      <c r="P52" s="34">
        <f t="shared" si="0"/>
        <v>-9.1703787689986785E-2</v>
      </c>
      <c r="Q52" s="34">
        <f t="shared" si="1"/>
        <v>-3.612953724675904E-2</v>
      </c>
      <c r="R52" s="34">
        <f t="shared" si="2"/>
        <v>2.3092406305330864E-3</v>
      </c>
      <c r="S52" s="34">
        <f t="shared" si="4"/>
        <v>9.6146146126603799E-2</v>
      </c>
      <c r="T52" s="35">
        <f t="shared" si="5"/>
        <v>330.54130688476721</v>
      </c>
      <c r="U52" s="59"/>
    </row>
    <row r="53" spans="12:31">
      <c r="L53" s="32">
        <f t="shared" si="3"/>
        <v>0</v>
      </c>
      <c r="M53" s="46" t="s">
        <v>119</v>
      </c>
      <c r="N53" s="33">
        <v>39.56523</v>
      </c>
      <c r="O53" s="33">
        <v>-97.662660000000002</v>
      </c>
      <c r="P53" s="34">
        <f t="shared" si="0"/>
        <v>-9.3439343098169966E-2</v>
      </c>
      <c r="Q53" s="34">
        <f t="shared" si="1"/>
        <v>0.14374235013452472</v>
      </c>
      <c r="R53" s="34">
        <f t="shared" si="2"/>
        <v>5.4685048429263484E-3</v>
      </c>
      <c r="S53" s="34">
        <f t="shared" si="4"/>
        <v>0.14803380964939297</v>
      </c>
      <c r="T53" s="35">
        <f t="shared" si="5"/>
        <v>508.92615955931541</v>
      </c>
      <c r="U53" s="59"/>
    </row>
    <row r="54" spans="12:31">
      <c r="L54" s="32">
        <f t="shared" si="3"/>
        <v>0</v>
      </c>
      <c r="M54" s="46" t="s">
        <v>120</v>
      </c>
      <c r="N54" s="33">
        <v>37.749110000000002</v>
      </c>
      <c r="O54" s="33">
        <v>-100.02426</v>
      </c>
      <c r="P54" s="34">
        <f t="shared" si="0"/>
        <v>-6.1742069486850591E-2</v>
      </c>
      <c r="Q54" s="34">
        <f t="shared" si="1"/>
        <v>0.18496004574962271</v>
      </c>
      <c r="R54" s="34">
        <f t="shared" si="2"/>
        <v>6.5291568797981921E-3</v>
      </c>
      <c r="S54" s="34">
        <f t="shared" si="4"/>
        <v>0.16178277453204956</v>
      </c>
      <c r="T54" s="35">
        <f t="shared" si="5"/>
        <v>556.19379329932838</v>
      </c>
      <c r="U54" s="59"/>
    </row>
    <row r="55" spans="12:31">
      <c r="L55" s="32">
        <f t="shared" si="3"/>
        <v>0</v>
      </c>
      <c r="M55" s="46" t="s">
        <v>121</v>
      </c>
      <c r="N55" s="33">
        <v>39.3506</v>
      </c>
      <c r="O55" s="33">
        <v>-101.7085</v>
      </c>
      <c r="P55" s="34">
        <f t="shared" si="0"/>
        <v>-8.9693342924614547E-2</v>
      </c>
      <c r="Q55" s="34">
        <f t="shared" si="1"/>
        <v>0.21435557914341208</v>
      </c>
      <c r="R55" s="34">
        <f t="shared" si="2"/>
        <v>9.3275224450762445E-3</v>
      </c>
      <c r="S55" s="34">
        <f t="shared" si="4"/>
        <v>0.19345974752084744</v>
      </c>
      <c r="T55" s="35">
        <f t="shared" si="5"/>
        <v>665.09621395468423</v>
      </c>
      <c r="U55" s="59"/>
    </row>
    <row r="56" spans="12:31">
      <c r="L56" s="32">
        <f t="shared" si="3"/>
        <v>0</v>
      </c>
      <c r="M56" s="46" t="s">
        <v>122</v>
      </c>
      <c r="N56" s="33">
        <v>39.019440000000003</v>
      </c>
      <c r="O56" s="33">
        <v>-95.691909999999993</v>
      </c>
      <c r="P56" s="34">
        <f t="shared" si="0"/>
        <v>-8.3913510573710173E-2</v>
      </c>
      <c r="Q56" s="34">
        <f t="shared" si="1"/>
        <v>0.10934627390084629</v>
      </c>
      <c r="R56" s="34">
        <f t="shared" si="2"/>
        <v>3.6779468312588201E-3</v>
      </c>
      <c r="S56" s="34">
        <f t="shared" si="4"/>
        <v>0.12136663124229465</v>
      </c>
      <c r="T56" s="35">
        <f t="shared" si="5"/>
        <v>417.24693624437782</v>
      </c>
      <c r="U56" s="59"/>
    </row>
    <row r="57" spans="12:31">
      <c r="L57" s="32">
        <f t="shared" si="3"/>
        <v>0</v>
      </c>
      <c r="M57" s="46" t="s">
        <v>123</v>
      </c>
      <c r="N57" s="33">
        <v>37.690530000000003</v>
      </c>
      <c r="O57" s="33">
        <v>-97.365080000000006</v>
      </c>
      <c r="P57" s="34">
        <f t="shared" si="0"/>
        <v>-6.0719655611032326E-2</v>
      </c>
      <c r="Q57" s="34">
        <f t="shared" si="1"/>
        <v>0.13854859934644007</v>
      </c>
      <c r="R57" s="34">
        <f t="shared" si="2"/>
        <v>4.0568322543598663E-3</v>
      </c>
      <c r="S57" s="34">
        <f t="shared" si="4"/>
        <v>0.12747282247947958</v>
      </c>
      <c r="T57" s="35">
        <f t="shared" si="5"/>
        <v>438.23944101903299</v>
      </c>
      <c r="U57" s="59"/>
    </row>
    <row r="58" spans="12:31">
      <c r="L58" s="32">
        <f t="shared" si="3"/>
        <v>0</v>
      </c>
      <c r="M58" s="46" t="s">
        <v>124</v>
      </c>
      <c r="N58" s="33">
        <v>39.078609999999998</v>
      </c>
      <c r="O58" s="33">
        <v>-84.54213</v>
      </c>
      <c r="P58" s="34">
        <f t="shared" si="0"/>
        <v>-8.4946221892115134E-2</v>
      </c>
      <c r="Q58" s="34">
        <f t="shared" si="1"/>
        <v>-8.5254097972166931E-2</v>
      </c>
      <c r="R58" s="34">
        <f t="shared" si="2"/>
        <v>2.9686568600371709E-3</v>
      </c>
      <c r="S58" s="34">
        <f t="shared" si="4"/>
        <v>0.10902475244155795</v>
      </c>
      <c r="T58" s="35">
        <f t="shared" si="5"/>
        <v>374.81673064011903</v>
      </c>
      <c r="U58" s="59"/>
    </row>
    <row r="59" spans="12:31">
      <c r="L59" s="32">
        <f t="shared" si="3"/>
        <v>0</v>
      </c>
      <c r="M59" s="46" t="s">
        <v>125</v>
      </c>
      <c r="N59" s="33">
        <v>38.060850000000002</v>
      </c>
      <c r="O59" s="33">
        <v>-84.508690000000001</v>
      </c>
      <c r="P59" s="34">
        <f t="shared" si="0"/>
        <v>-6.7182958897017725E-2</v>
      </c>
      <c r="Q59" s="34">
        <f t="shared" si="1"/>
        <v>-8.5837736074033819E-2</v>
      </c>
      <c r="R59" s="34">
        <f t="shared" si="2"/>
        <v>2.3266052834999707E-3</v>
      </c>
      <c r="S59" s="34">
        <f t="shared" si="4"/>
        <v>9.6507240968932539E-2</v>
      </c>
      <c r="T59" s="35">
        <f t="shared" si="5"/>
        <v>331.78271661257395</v>
      </c>
      <c r="U59" s="59"/>
    </row>
    <row r="60" spans="12:31">
      <c r="L60" s="32">
        <f t="shared" si="3"/>
        <v>0</v>
      </c>
      <c r="M60" s="46" t="s">
        <v>126</v>
      </c>
      <c r="N60" s="33">
        <v>38.245049999999999</v>
      </c>
      <c r="O60" s="33">
        <v>-85.715609999999998</v>
      </c>
      <c r="P60" s="34">
        <f t="shared" si="0"/>
        <v>-7.0397855379191215E-2</v>
      </c>
      <c r="Q60" s="34">
        <f t="shared" si="1"/>
        <v>-6.4773008265863907E-2</v>
      </c>
      <c r="R60" s="34">
        <f t="shared" si="2"/>
        <v>1.9194404231120533E-3</v>
      </c>
      <c r="S60" s="34">
        <f t="shared" si="4"/>
        <v>8.765089310903254E-2</v>
      </c>
      <c r="T60" s="35">
        <f t="shared" si="5"/>
        <v>301.33543490891918</v>
      </c>
      <c r="U60" s="59"/>
    </row>
    <row r="61" spans="12:31">
      <c r="L61" s="32">
        <f t="shared" si="3"/>
        <v>0</v>
      </c>
      <c r="M61" s="48" t="s">
        <v>128</v>
      </c>
      <c r="N61" s="33">
        <v>30.029129999999999</v>
      </c>
      <c r="O61" s="33">
        <v>-90.066630000000004</v>
      </c>
      <c r="P61" s="34">
        <f t="shared" si="0"/>
        <v>7.2996999701261306E-2</v>
      </c>
      <c r="Q61" s="34">
        <f t="shared" si="1"/>
        <v>1.1166616554259863E-2</v>
      </c>
      <c r="R61" s="34">
        <f t="shared" si="2"/>
        <v>1.353867825076316E-3</v>
      </c>
      <c r="S61" s="34">
        <f t="shared" si="4"/>
        <v>7.3606501143858805E-2</v>
      </c>
      <c r="T61" s="35">
        <f t="shared" si="5"/>
        <v>253.0521509543278</v>
      </c>
      <c r="U61" s="59"/>
    </row>
    <row r="62" spans="12:31">
      <c r="L62" s="32">
        <f t="shared" si="3"/>
        <v>0</v>
      </c>
      <c r="M62" s="46" t="s">
        <v>127</v>
      </c>
      <c r="N62" s="33">
        <v>32.476529999999997</v>
      </c>
      <c r="O62" s="33">
        <v>-93.82902</v>
      </c>
      <c r="P62" s="34">
        <f t="shared" si="0"/>
        <v>3.0281811587952116E-2</v>
      </c>
      <c r="Q62" s="34">
        <f t="shared" si="1"/>
        <v>7.6832709798369259E-2</v>
      </c>
      <c r="R62" s="34">
        <f t="shared" si="2"/>
        <v>1.2583102231558127E-3</v>
      </c>
      <c r="S62" s="34">
        <f t="shared" si="4"/>
        <v>7.0960224328150606E-2</v>
      </c>
      <c r="T62" s="35">
        <f t="shared" si="5"/>
        <v>243.95450292284818</v>
      </c>
      <c r="U62" s="59"/>
    </row>
    <row r="63" spans="12:31">
      <c r="L63" s="32">
        <f t="shared" si="3"/>
        <v>0</v>
      </c>
      <c r="M63" s="46" t="s">
        <v>129</v>
      </c>
      <c r="N63" s="33">
        <v>42.301439999999999</v>
      </c>
      <c r="O63" s="33">
        <v>-71.095259999999996</v>
      </c>
      <c r="P63" s="34">
        <f t="shared" si="0"/>
        <v>-0.14119521662416401</v>
      </c>
      <c r="Q63" s="34">
        <f t="shared" si="1"/>
        <v>-0.31994625355981693</v>
      </c>
      <c r="R63" s="34">
        <f t="shared" si="2"/>
        <v>2.049531842898749E-2</v>
      </c>
      <c r="S63" s="34">
        <f t="shared" si="4"/>
        <v>0.28731090324590097</v>
      </c>
      <c r="T63" s="35">
        <f t="shared" si="5"/>
        <v>987.74756209250882</v>
      </c>
      <c r="U63" s="59"/>
    </row>
    <row r="64" spans="12:31">
      <c r="L64" s="32">
        <f t="shared" si="3"/>
        <v>0</v>
      </c>
      <c r="M64" s="46" t="s">
        <v>130</v>
      </c>
      <c r="N64" s="33">
        <v>41.258650000000003</v>
      </c>
      <c r="O64" s="33">
        <v>-70.031040000000004</v>
      </c>
      <c r="P64" s="34">
        <f t="shared" si="0"/>
        <v>-0.1229950977172924</v>
      </c>
      <c r="Q64" s="34">
        <f t="shared" si="1"/>
        <v>-0.33852039652539079</v>
      </c>
      <c r="R64" s="34">
        <f t="shared" si="2"/>
        <v>2.1417828662626086E-2</v>
      </c>
      <c r="S64" s="34">
        <f t="shared" si="4"/>
        <v>0.29375164694149802</v>
      </c>
      <c r="T64" s="35">
        <f t="shared" si="5"/>
        <v>1009.8902264032461</v>
      </c>
      <c r="U64" s="59"/>
    </row>
    <row r="65" spans="12:21">
      <c r="L65" s="32">
        <f t="shared" si="3"/>
        <v>0</v>
      </c>
      <c r="M65" s="46" t="s">
        <v>131</v>
      </c>
      <c r="N65" s="33">
        <v>39.287979999999997</v>
      </c>
      <c r="O65" s="33">
        <v>-76.579480000000004</v>
      </c>
      <c r="P65" s="34">
        <f t="shared" si="0"/>
        <v>-8.8600417747015658E-2</v>
      </c>
      <c r="Q65" s="34">
        <f t="shared" si="1"/>
        <v>-0.22422855765609334</v>
      </c>
      <c r="R65" s="34">
        <f t="shared" si="2"/>
        <v>9.9727578170095369E-3</v>
      </c>
      <c r="S65" s="34">
        <f t="shared" si="4"/>
        <v>0.20006086324432948</v>
      </c>
      <c r="T65" s="35">
        <f t="shared" si="5"/>
        <v>687.79022204591024</v>
      </c>
      <c r="U65" s="59"/>
    </row>
    <row r="66" spans="12:21">
      <c r="L66" s="32">
        <f t="shared" si="3"/>
        <v>0</v>
      </c>
      <c r="M66" s="46" t="s">
        <v>132</v>
      </c>
      <c r="N66" s="33">
        <v>44.910969999999999</v>
      </c>
      <c r="O66" s="33">
        <v>-66.990799999999993</v>
      </c>
      <c r="P66" s="34">
        <f t="shared" si="0"/>
        <v>-0.18674010705373162</v>
      </c>
      <c r="Q66" s="34">
        <f t="shared" si="1"/>
        <v>-0.39158259457622341</v>
      </c>
      <c r="R66" s="34">
        <f t="shared" si="2"/>
        <v>3.0858150757168051E-2</v>
      </c>
      <c r="S66" s="34">
        <f t="shared" si="4"/>
        <v>0.35316222339953163</v>
      </c>
      <c r="T66" s="35">
        <f t="shared" si="5"/>
        <v>1214.1381383201444</v>
      </c>
      <c r="U66" s="59"/>
    </row>
    <row r="67" spans="12:21">
      <c r="L67" s="32">
        <f t="shared" si="3"/>
        <v>0</v>
      </c>
      <c r="M67" s="48" t="s">
        <v>133</v>
      </c>
      <c r="N67" s="33">
        <v>43.680970000000002</v>
      </c>
      <c r="O67" s="33">
        <v>-70.299270000000007</v>
      </c>
      <c r="P67" s="34">
        <f t="shared" si="0"/>
        <v>-0.16527255725420142</v>
      </c>
      <c r="Q67" s="34">
        <f t="shared" si="1"/>
        <v>-0.33383889987276638</v>
      </c>
      <c r="R67" s="34">
        <f t="shared" si="2"/>
        <v>2.332224704631837E-2</v>
      </c>
      <c r="S67" s="34">
        <f t="shared" si="4"/>
        <v>0.30663232521764655</v>
      </c>
      <c r="T67" s="35">
        <f t="shared" si="5"/>
        <v>1054.1727733641405</v>
      </c>
      <c r="U67" s="59"/>
    </row>
    <row r="68" spans="12:21">
      <c r="L68" s="32">
        <f t="shared" si="3"/>
        <v>0</v>
      </c>
      <c r="M68" s="46" t="s">
        <v>134</v>
      </c>
      <c r="N68" s="33">
        <v>45.05838</v>
      </c>
      <c r="O68" s="33">
        <v>-83.433300000000003</v>
      </c>
      <c r="P68" s="34">
        <f t="shared" ref="P68:P131" si="9">(PI()/180)*($K$4-N68)</f>
        <v>-0.18931289690409647</v>
      </c>
      <c r="Q68" s="34">
        <f t="shared" ref="Q68:Q131" si="10">(PI()/180)*($K$5-O68)</f>
        <v>-0.10460683231705561</v>
      </c>
      <c r="R68" s="34">
        <f t="shared" ref="R68:R131" si="11">SIN(P68/2)*SIN(P68/2)+COS(PI()*$K$4/180)*COS(PI()*N68/180)*SIN(Q68/2)*SIN(Q68/2)</f>
        <v>1.0529709235520195E-2</v>
      </c>
      <c r="S68" s="34">
        <f t="shared" si="4"/>
        <v>0.20559062684641741</v>
      </c>
      <c r="T68" s="35">
        <f t="shared" si="5"/>
        <v>706.80102342936993</v>
      </c>
      <c r="U68" s="59"/>
    </row>
    <row r="69" spans="12:21">
      <c r="L69" s="32">
        <f t="shared" ref="L69:L132" si="12">IF(T69=$K$7,1,0)</f>
        <v>0</v>
      </c>
      <c r="M69" s="46" t="s">
        <v>135</v>
      </c>
      <c r="N69" s="33">
        <v>42.411140000000003</v>
      </c>
      <c r="O69" s="33">
        <v>-83.028319999999994</v>
      </c>
      <c r="P69" s="34">
        <f t="shared" si="9"/>
        <v>-0.14310984281360187</v>
      </c>
      <c r="Q69" s="34">
        <f t="shared" si="10"/>
        <v>-0.1116750667217824</v>
      </c>
      <c r="R69" s="34">
        <f t="shared" si="11"/>
        <v>7.0130500348573963E-3</v>
      </c>
      <c r="S69" s="34">
        <f t="shared" ref="S69:S132" si="13">2*ATAN(SQRT(R69)/SQRT(1-R69))</f>
        <v>0.16768429768364249</v>
      </c>
      <c r="T69" s="35">
        <f t="shared" ref="T69:T132" si="14">$P$2*S69</f>
        <v>576.4826686596532</v>
      </c>
      <c r="U69" s="59"/>
    </row>
    <row r="70" spans="12:21">
      <c r="L70" s="32">
        <f t="shared" si="12"/>
        <v>0</v>
      </c>
      <c r="M70" s="46" t="s">
        <v>136</v>
      </c>
      <c r="N70" s="33">
        <v>45.740110000000001</v>
      </c>
      <c r="O70" s="33">
        <v>-87.050690000000003</v>
      </c>
      <c r="P70" s="34">
        <f t="shared" si="9"/>
        <v>-0.20121133001371747</v>
      </c>
      <c r="Q70" s="34">
        <f t="shared" si="10"/>
        <v>-4.1471466488337931E-2</v>
      </c>
      <c r="R70" s="34">
        <f t="shared" si="11"/>
        <v>1.0335520517336851E-2</v>
      </c>
      <c r="S70" s="34">
        <f t="shared" si="13"/>
        <v>0.20367941252761554</v>
      </c>
      <c r="T70" s="35">
        <f t="shared" si="14"/>
        <v>700.23045035781081</v>
      </c>
      <c r="U70" s="59"/>
    </row>
    <row r="71" spans="12:21">
      <c r="L71" s="32">
        <f t="shared" si="12"/>
        <v>0</v>
      </c>
      <c r="M71" s="46" t="s">
        <v>137</v>
      </c>
      <c r="N71" s="33">
        <v>42.963700000000003</v>
      </c>
      <c r="O71" s="33">
        <v>-85.648629999999997</v>
      </c>
      <c r="P71" s="34">
        <f t="shared" si="9"/>
        <v>-0.15275383412842172</v>
      </c>
      <c r="Q71" s="34">
        <f t="shared" si="10"/>
        <v>-6.5942029798849722E-2</v>
      </c>
      <c r="R71" s="34">
        <f t="shared" si="11"/>
        <v>6.4797260095218476E-3</v>
      </c>
      <c r="S71" s="34">
        <f t="shared" si="13"/>
        <v>0.16116786522281398</v>
      </c>
      <c r="T71" s="35">
        <f t="shared" si="14"/>
        <v>554.07979357205181</v>
      </c>
      <c r="U71" s="59"/>
    </row>
    <row r="72" spans="12:21">
      <c r="L72" s="32">
        <f t="shared" si="12"/>
        <v>0</v>
      </c>
      <c r="M72" s="46" t="s">
        <v>138</v>
      </c>
      <c r="N72" s="33">
        <v>42.716290000000001</v>
      </c>
      <c r="O72" s="33">
        <v>-84.518929999999997</v>
      </c>
      <c r="P72" s="34">
        <f t="shared" si="9"/>
        <v>-0.14843571502606251</v>
      </c>
      <c r="Q72" s="34">
        <f t="shared" si="10"/>
        <v>-8.5659014358629659E-2</v>
      </c>
      <c r="R72" s="34">
        <f t="shared" si="11"/>
        <v>6.6120470918361015E-3</v>
      </c>
      <c r="S72" s="34">
        <f t="shared" si="13"/>
        <v>0.16280874371704868</v>
      </c>
      <c r="T72" s="35">
        <f t="shared" si="14"/>
        <v>559.72097778768591</v>
      </c>
      <c r="U72" s="59"/>
    </row>
    <row r="73" spans="12:21">
      <c r="L73" s="32">
        <f t="shared" si="12"/>
        <v>0</v>
      </c>
      <c r="M73" s="46" t="s">
        <v>139</v>
      </c>
      <c r="N73" s="33">
        <v>46.544069999999998</v>
      </c>
      <c r="O73" s="33">
        <v>-87.406599999999997</v>
      </c>
      <c r="P73" s="34">
        <f t="shared" si="9"/>
        <v>-0.21524307906805101</v>
      </c>
      <c r="Q73" s="34">
        <f t="shared" si="10"/>
        <v>-3.5259665147565011E-2</v>
      </c>
      <c r="R73" s="34">
        <f t="shared" si="11"/>
        <v>1.1714513833074411E-2</v>
      </c>
      <c r="S73" s="34">
        <f t="shared" si="13"/>
        <v>0.21689209366550483</v>
      </c>
      <c r="T73" s="35">
        <f t="shared" si="14"/>
        <v>745.65439158389802</v>
      </c>
      <c r="U73" s="59"/>
    </row>
    <row r="74" spans="12:21">
      <c r="L74" s="32">
        <f t="shared" si="12"/>
        <v>0</v>
      </c>
      <c r="M74" s="46" t="s">
        <v>140</v>
      </c>
      <c r="N74" s="33">
        <v>46.488329999999998</v>
      </c>
      <c r="O74" s="33">
        <v>-84.336500000000001</v>
      </c>
      <c r="P74" s="34">
        <f t="shared" si="9"/>
        <v>-0.21427023254298935</v>
      </c>
      <c r="Q74" s="34">
        <f t="shared" si="10"/>
        <v>-8.8843018513042854E-2</v>
      </c>
      <c r="R74" s="34">
        <f t="shared" si="11"/>
        <v>1.2556865927784688E-2</v>
      </c>
      <c r="S74" s="34">
        <f t="shared" si="13"/>
        <v>0.22458654520086607</v>
      </c>
      <c r="T74" s="35">
        <f t="shared" si="14"/>
        <v>772.10718422012894</v>
      </c>
      <c r="U74" s="59"/>
    </row>
    <row r="75" spans="12:21">
      <c r="L75" s="32">
        <f t="shared" si="12"/>
        <v>0</v>
      </c>
      <c r="M75" s="46" t="s">
        <v>141</v>
      </c>
      <c r="N75" s="33">
        <v>46.78172</v>
      </c>
      <c r="O75" s="33">
        <v>-92.131860000000003</v>
      </c>
      <c r="P75" s="34">
        <f t="shared" si="9"/>
        <v>-0.21939085403541556</v>
      </c>
      <c r="Q75" s="34">
        <f t="shared" si="10"/>
        <v>4.7211679865222352E-2</v>
      </c>
      <c r="R75" s="34">
        <f t="shared" si="11"/>
        <v>1.2300397593830217E-2</v>
      </c>
      <c r="S75" s="34">
        <f t="shared" si="13"/>
        <v>0.2222715847454996</v>
      </c>
      <c r="T75" s="35">
        <f t="shared" si="14"/>
        <v>764.14857032731834</v>
      </c>
      <c r="U75" s="59"/>
    </row>
    <row r="76" spans="12:21">
      <c r="L76" s="32">
        <f t="shared" si="12"/>
        <v>0</v>
      </c>
      <c r="M76" s="48" t="s">
        <v>142</v>
      </c>
      <c r="N76" s="33">
        <v>44.96969</v>
      </c>
      <c r="O76" s="33">
        <v>-93.260009999999994</v>
      </c>
      <c r="P76" s="34">
        <f t="shared" si="9"/>
        <v>-0.18776496439050272</v>
      </c>
      <c r="Q76" s="34">
        <f t="shared" si="10"/>
        <v>6.6901611821596221E-2</v>
      </c>
      <c r="R76" s="34">
        <f t="shared" si="11"/>
        <v>9.4424721233560653E-3</v>
      </c>
      <c r="S76" s="34">
        <f t="shared" si="13"/>
        <v>0.19465192319867447</v>
      </c>
      <c r="T76" s="35">
        <f t="shared" si="14"/>
        <v>669.19480055914664</v>
      </c>
      <c r="U76" s="59"/>
    </row>
    <row r="77" spans="12:21">
      <c r="L77" s="32">
        <f t="shared" si="12"/>
        <v>0</v>
      </c>
      <c r="M77" s="46" t="s">
        <v>143</v>
      </c>
      <c r="N77" s="33">
        <v>44.010530000000003</v>
      </c>
      <c r="O77" s="33">
        <v>-92.466759999999994</v>
      </c>
      <c r="P77" s="34">
        <f t="shared" si="9"/>
        <v>-0.17102446433707397</v>
      </c>
      <c r="Q77" s="34">
        <f t="shared" si="10"/>
        <v>5.3056787530151195E-2</v>
      </c>
      <c r="R77" s="34">
        <f t="shared" si="11"/>
        <v>7.7130067432507618E-3</v>
      </c>
      <c r="S77" s="34">
        <f t="shared" si="13"/>
        <v>0.17587403311500449</v>
      </c>
      <c r="T77" s="35">
        <f t="shared" si="14"/>
        <v>604.63820022883624</v>
      </c>
      <c r="U77" s="59"/>
    </row>
    <row r="78" spans="12:21">
      <c r="L78" s="32">
        <f t="shared" si="12"/>
        <v>0</v>
      </c>
      <c r="M78" s="46" t="s">
        <v>144</v>
      </c>
      <c r="N78" s="33">
        <v>38.950659999999999</v>
      </c>
      <c r="O78" s="33">
        <v>-92.304860000000005</v>
      </c>
      <c r="P78" s="34">
        <f t="shared" si="9"/>
        <v>-8.2713073114188407E-2</v>
      </c>
      <c r="Q78" s="34">
        <f t="shared" si="10"/>
        <v>5.0231099471172568E-2</v>
      </c>
      <c r="R78" s="34">
        <f t="shared" si="11"/>
        <v>2.1149785141596029E-3</v>
      </c>
      <c r="S78" s="34">
        <f t="shared" si="13"/>
        <v>9.2010243843525227E-2</v>
      </c>
      <c r="T78" s="35">
        <f t="shared" si="14"/>
        <v>316.32246815985019</v>
      </c>
      <c r="U78" s="59"/>
    </row>
    <row r="79" spans="12:21">
      <c r="L79" s="32">
        <f t="shared" si="12"/>
        <v>0</v>
      </c>
      <c r="M79" s="46" t="s">
        <v>145</v>
      </c>
      <c r="N79" s="33">
        <v>39.083060000000003</v>
      </c>
      <c r="O79" s="33">
        <v>-94.578509999999994</v>
      </c>
      <c r="P79" s="34">
        <f t="shared" si="9"/>
        <v>-8.5023889043828973E-2</v>
      </c>
      <c r="Q79" s="34">
        <f t="shared" si="10"/>
        <v>8.9913778009141451E-2</v>
      </c>
      <c r="R79" s="34">
        <f t="shared" si="11"/>
        <v>3.1026999250758384E-3</v>
      </c>
      <c r="S79" s="34">
        <f t="shared" si="13"/>
        <v>0.11146145811583141</v>
      </c>
      <c r="T79" s="35">
        <f t="shared" si="14"/>
        <v>383.19389301756161</v>
      </c>
      <c r="U79" s="59"/>
    </row>
    <row r="80" spans="12:21">
      <c r="L80" s="32">
        <f t="shared" si="12"/>
        <v>0</v>
      </c>
      <c r="M80" s="46" t="s">
        <v>146</v>
      </c>
      <c r="N80" s="33">
        <v>37.170340000000003</v>
      </c>
      <c r="O80" s="33">
        <v>-93.327579999999998</v>
      </c>
      <c r="P80" s="34">
        <f t="shared" si="9"/>
        <v>-5.1640627375083029E-2</v>
      </c>
      <c r="Q80" s="34">
        <f t="shared" si="10"/>
        <v>6.8080930797168843E-2</v>
      </c>
      <c r="R80" s="34">
        <f t="shared" si="11"/>
        <v>1.4298209824170887E-3</v>
      </c>
      <c r="S80" s="34">
        <f t="shared" si="13"/>
        <v>7.5643980996233373E-2</v>
      </c>
      <c r="T80" s="35">
        <f t="shared" si="14"/>
        <v>260.0568129224576</v>
      </c>
      <c r="U80" s="59"/>
    </row>
    <row r="81" spans="12:21">
      <c r="L81" s="32">
        <f t="shared" si="12"/>
        <v>0</v>
      </c>
      <c r="M81" s="46" t="s">
        <v>147</v>
      </c>
      <c r="N81" s="33">
        <v>38.623719999999999</v>
      </c>
      <c r="O81" s="33">
        <v>-90.185969999999998</v>
      </c>
      <c r="P81" s="34">
        <f t="shared" si="9"/>
        <v>-7.7006893657718137E-2</v>
      </c>
      <c r="Q81" s="34">
        <f t="shared" si="10"/>
        <v>1.3249492483589791E-2</v>
      </c>
      <c r="R81" s="34">
        <f t="shared" si="11"/>
        <v>1.5101371336793668E-3</v>
      </c>
      <c r="S81" s="34">
        <f t="shared" si="13"/>
        <v>7.7740540721269416E-2</v>
      </c>
      <c r="T81" s="35">
        <f t="shared" si="14"/>
        <v>267.26458587430164</v>
      </c>
      <c r="U81" s="59"/>
    </row>
    <row r="82" spans="12:21">
      <c r="L82" s="32">
        <f t="shared" si="12"/>
        <v>0</v>
      </c>
      <c r="M82" s="46" t="s">
        <v>148</v>
      </c>
      <c r="N82" s="33">
        <v>32.294580000000003</v>
      </c>
      <c r="O82" s="33">
        <v>-90.17389</v>
      </c>
      <c r="P82" s="34">
        <f t="shared" si="9"/>
        <v>3.3457438161955684E-2</v>
      </c>
      <c r="Q82" s="34">
        <f t="shared" si="10"/>
        <v>1.303865670994892E-2</v>
      </c>
      <c r="R82" s="34">
        <f t="shared" si="11"/>
        <v>3.0953410497852824E-4</v>
      </c>
      <c r="S82" s="34">
        <f t="shared" si="13"/>
        <v>3.5188978238796742E-2</v>
      </c>
      <c r="T82" s="35">
        <f t="shared" si="14"/>
        <v>120.97636071315269</v>
      </c>
      <c r="U82" s="59"/>
    </row>
    <row r="83" spans="12:21">
      <c r="L83" s="32">
        <f t="shared" si="12"/>
        <v>0</v>
      </c>
      <c r="M83" s="46" t="s">
        <v>149</v>
      </c>
      <c r="N83" s="33">
        <v>32.386789999999998</v>
      </c>
      <c r="O83" s="33">
        <v>-88.698830000000001</v>
      </c>
      <c r="P83" s="34">
        <f t="shared" si="9"/>
        <v>3.1848070058691814E-2</v>
      </c>
      <c r="Q83" s="34">
        <f t="shared" si="10"/>
        <v>-1.2705996954518621E-2</v>
      </c>
      <c r="R83" s="34">
        <f t="shared" si="11"/>
        <v>2.8173823910844628E-4</v>
      </c>
      <c r="S83" s="34">
        <f t="shared" si="13"/>
        <v>3.3571696525297616E-2</v>
      </c>
      <c r="T83" s="35">
        <f t="shared" si="14"/>
        <v>115.41629998563364</v>
      </c>
      <c r="U83" s="59"/>
    </row>
    <row r="84" spans="12:21">
      <c r="L84" s="32">
        <f t="shared" si="12"/>
        <v>0</v>
      </c>
      <c r="M84" s="46" t="s">
        <v>150</v>
      </c>
      <c r="N84" s="33">
        <v>32.324100000000001</v>
      </c>
      <c r="O84" s="33">
        <v>-90.887349999999998</v>
      </c>
      <c r="P84" s="34">
        <f t="shared" si="9"/>
        <v>3.2942216966766996E-2</v>
      </c>
      <c r="Q84" s="34">
        <f t="shared" si="10"/>
        <v>2.5490882791227625E-2</v>
      </c>
      <c r="R84" s="34">
        <f t="shared" si="11"/>
        <v>3.8478710374976354E-4</v>
      </c>
      <c r="S84" s="34">
        <f t="shared" si="13"/>
        <v>3.9234498471916124E-2</v>
      </c>
      <c r="T84" s="35">
        <f t="shared" si="14"/>
        <v>134.88447454564295</v>
      </c>
      <c r="U84" s="59"/>
    </row>
    <row r="85" spans="12:21">
      <c r="L85" s="32">
        <f t="shared" si="12"/>
        <v>0</v>
      </c>
      <c r="M85" s="46" t="s">
        <v>151</v>
      </c>
      <c r="N85" s="33">
        <v>45.768120000000003</v>
      </c>
      <c r="O85" s="33">
        <v>-108.56009</v>
      </c>
      <c r="P85" s="34">
        <f t="shared" si="9"/>
        <v>-0.2017001967372011</v>
      </c>
      <c r="Q85" s="34">
        <f t="shared" si="10"/>
        <v>0.3339383836401304</v>
      </c>
      <c r="R85" s="34">
        <f t="shared" si="11"/>
        <v>2.6069594724693633E-2</v>
      </c>
      <c r="S85" s="34">
        <f t="shared" si="13"/>
        <v>0.32434142225317836</v>
      </c>
      <c r="T85" s="35">
        <f t="shared" si="14"/>
        <v>1115.0549648371709</v>
      </c>
      <c r="U85" s="59"/>
    </row>
    <row r="86" spans="12:21">
      <c r="L86" s="32">
        <f t="shared" si="12"/>
        <v>0</v>
      </c>
      <c r="M86" s="48" t="s">
        <v>152</v>
      </c>
      <c r="N86" s="33">
        <v>47.509839999999997</v>
      </c>
      <c r="O86" s="33">
        <v>-111.30571999999999</v>
      </c>
      <c r="P86" s="34">
        <f t="shared" si="9"/>
        <v>-0.23209894538503664</v>
      </c>
      <c r="Q86" s="34">
        <f t="shared" si="10"/>
        <v>0.38185866718166211</v>
      </c>
      <c r="R86" s="34">
        <f t="shared" si="11"/>
        <v>3.3523605521091626E-2</v>
      </c>
      <c r="S86" s="34">
        <f t="shared" si="13"/>
        <v>0.36826654403825648</v>
      </c>
      <c r="T86" s="35">
        <f t="shared" si="14"/>
        <v>1266.0653562551877</v>
      </c>
      <c r="U86" s="59"/>
    </row>
    <row r="87" spans="12:21">
      <c r="L87" s="32">
        <f t="shared" si="12"/>
        <v>0</v>
      </c>
      <c r="M87" s="49" t="s">
        <v>153</v>
      </c>
      <c r="N87" s="33">
        <v>48.54477</v>
      </c>
      <c r="O87" s="33">
        <v>-109.69046</v>
      </c>
      <c r="P87" s="34">
        <f t="shared" si="9"/>
        <v>-0.25016188141270157</v>
      </c>
      <c r="Q87" s="34">
        <f t="shared" si="10"/>
        <v>0.35366706190589869</v>
      </c>
      <c r="R87" s="34">
        <f t="shared" si="11"/>
        <v>3.2505899972494499E-2</v>
      </c>
      <c r="S87" s="34">
        <f t="shared" si="13"/>
        <v>0.36257053312851767</v>
      </c>
      <c r="T87" s="35">
        <f t="shared" si="14"/>
        <v>1246.4830124381433</v>
      </c>
      <c r="U87" s="59"/>
    </row>
    <row r="88" spans="12:21">
      <c r="L88" s="32">
        <f t="shared" si="12"/>
        <v>0</v>
      </c>
      <c r="M88" s="49" t="s">
        <v>154</v>
      </c>
      <c r="N88" s="33">
        <v>46.594250000000002</v>
      </c>
      <c r="O88" s="33">
        <v>-112.01501</v>
      </c>
      <c r="P88" s="34">
        <f t="shared" si="9"/>
        <v>-0.21611888528670184</v>
      </c>
      <c r="Q88" s="34">
        <f t="shared" si="10"/>
        <v>0.39423811303313289</v>
      </c>
      <c r="R88" s="34">
        <f t="shared" si="11"/>
        <v>3.3427193250028235E-2</v>
      </c>
      <c r="S88" s="34">
        <f t="shared" si="13"/>
        <v>0.36773054614410922</v>
      </c>
      <c r="T88" s="35">
        <f t="shared" si="14"/>
        <v>1264.2226464685091</v>
      </c>
      <c r="U88" s="59"/>
    </row>
    <row r="89" spans="12:21">
      <c r="L89" s="32">
        <f t="shared" si="12"/>
        <v>0</v>
      </c>
      <c r="M89" s="49" t="s">
        <v>155</v>
      </c>
      <c r="N89" s="33">
        <v>48.210450000000002</v>
      </c>
      <c r="O89" s="33">
        <v>-114.31361</v>
      </c>
      <c r="P89" s="34">
        <f t="shared" si="9"/>
        <v>-0.24432689665743418</v>
      </c>
      <c r="Q89" s="34">
        <f t="shared" si="10"/>
        <v>0.43435625121947441</v>
      </c>
      <c r="R89" s="34">
        <f t="shared" si="11"/>
        <v>4.0436520791063774E-2</v>
      </c>
      <c r="S89" s="34">
        <f t="shared" si="13"/>
        <v>0.4049376602321681</v>
      </c>
      <c r="T89" s="35">
        <f t="shared" si="14"/>
        <v>1392.1371663067059</v>
      </c>
      <c r="U89" s="59"/>
    </row>
    <row r="90" spans="12:21">
      <c r="L90" s="32">
        <f t="shared" si="12"/>
        <v>0</v>
      </c>
      <c r="M90" s="46" t="s">
        <v>156</v>
      </c>
      <c r="N90" s="33">
        <v>46.405709999999999</v>
      </c>
      <c r="O90" s="33">
        <v>-105.83177999999999</v>
      </c>
      <c r="P90" s="34">
        <f t="shared" si="9"/>
        <v>-0.21282824151499169</v>
      </c>
      <c r="Q90" s="34">
        <f t="shared" si="10"/>
        <v>0.28632039112504376</v>
      </c>
      <c r="R90" s="34">
        <f t="shared" si="11"/>
        <v>2.288850032076354E-2</v>
      </c>
      <c r="S90" s="34">
        <f t="shared" si="13"/>
        <v>0.30374523363374673</v>
      </c>
      <c r="T90" s="35">
        <f t="shared" si="14"/>
        <v>1044.2472270611026</v>
      </c>
      <c r="U90" s="59"/>
    </row>
    <row r="91" spans="12:21">
      <c r="L91" s="32">
        <f t="shared" si="12"/>
        <v>0</v>
      </c>
      <c r="M91" s="46" t="s">
        <v>157</v>
      </c>
      <c r="N91" s="33">
        <v>46.854579999999999</v>
      </c>
      <c r="O91" s="33">
        <v>-114.06641</v>
      </c>
      <c r="P91" s="34">
        <f t="shared" si="9"/>
        <v>-0.2206625009284186</v>
      </c>
      <c r="Q91" s="34">
        <f t="shared" si="10"/>
        <v>0.43004179730854458</v>
      </c>
      <c r="R91" s="34">
        <f t="shared" si="11"/>
        <v>3.7869603065607327E-2</v>
      </c>
      <c r="S91" s="34">
        <f t="shared" si="13"/>
        <v>0.39170159655109427</v>
      </c>
      <c r="T91" s="35">
        <f t="shared" si="14"/>
        <v>1346.63283812083</v>
      </c>
      <c r="U91" s="59"/>
    </row>
    <row r="92" spans="12:21">
      <c r="L92" s="32">
        <f t="shared" si="12"/>
        <v>0</v>
      </c>
      <c r="M92" s="46" t="s">
        <v>158</v>
      </c>
      <c r="N92" s="33">
        <v>35.593780000000002</v>
      </c>
      <c r="O92" s="33">
        <v>-82.547409999999999</v>
      </c>
      <c r="P92" s="34">
        <f t="shared" si="9"/>
        <v>-2.4124464519841217E-2</v>
      </c>
      <c r="Q92" s="34">
        <f t="shared" si="10"/>
        <v>-0.12006852962754824</v>
      </c>
      <c r="R92" s="34">
        <f t="shared" si="11"/>
        <v>2.5662017585585013E-3</v>
      </c>
      <c r="S92" s="34">
        <f t="shared" si="13"/>
        <v>0.10135876673199667</v>
      </c>
      <c r="T92" s="35">
        <f t="shared" si="14"/>
        <v>348.46180080588834</v>
      </c>
      <c r="U92" s="59"/>
    </row>
    <row r="93" spans="12:21">
      <c r="L93" s="32">
        <f t="shared" si="12"/>
        <v>0</v>
      </c>
      <c r="M93" s="46" t="s">
        <v>159</v>
      </c>
      <c r="N93" s="33">
        <v>35.251280000000001</v>
      </c>
      <c r="O93" s="33">
        <v>-75.565839999999994</v>
      </c>
      <c r="P93" s="34">
        <f t="shared" si="9"/>
        <v>-1.8146711831760622E-2</v>
      </c>
      <c r="Q93" s="34">
        <f t="shared" si="10"/>
        <v>-0.24191991308600883</v>
      </c>
      <c r="R93" s="34">
        <f t="shared" si="11"/>
        <v>9.9151197768481674E-3</v>
      </c>
      <c r="S93" s="34">
        <f t="shared" si="13"/>
        <v>0.19947996435852292</v>
      </c>
      <c r="T93" s="35">
        <f t="shared" si="14"/>
        <v>685.79314691999127</v>
      </c>
      <c r="U93" s="59"/>
    </row>
    <row r="94" spans="12:21">
      <c r="L94" s="32">
        <f t="shared" si="12"/>
        <v>0</v>
      </c>
      <c r="M94" s="48" t="s">
        <v>160</v>
      </c>
      <c r="N94" s="33">
        <v>35.189360000000001</v>
      </c>
      <c r="O94" s="33">
        <v>-80.846739999999997</v>
      </c>
      <c r="P94" s="34">
        <f t="shared" si="9"/>
        <v>-1.706600395892572E-2</v>
      </c>
      <c r="Q94" s="34">
        <f t="shared" si="10"/>
        <v>-0.14975082061744024</v>
      </c>
      <c r="R94" s="34">
        <f t="shared" si="11"/>
        <v>3.8547182263054354E-3</v>
      </c>
      <c r="S94" s="34">
        <f t="shared" si="13"/>
        <v>0.12425266814033674</v>
      </c>
      <c r="T94" s="35">
        <f t="shared" si="14"/>
        <v>427.16885663773758</v>
      </c>
      <c r="U94" s="59"/>
    </row>
    <row r="95" spans="12:21">
      <c r="L95" s="32">
        <f t="shared" si="12"/>
        <v>0</v>
      </c>
      <c r="M95" s="46" t="s">
        <v>161</v>
      </c>
      <c r="N95" s="33">
        <v>36.070250000000001</v>
      </c>
      <c r="O95" s="33">
        <v>-79.812950000000001</v>
      </c>
      <c r="P95" s="34">
        <f t="shared" si="9"/>
        <v>-3.2440434806818581E-2</v>
      </c>
      <c r="Q95" s="34">
        <f t="shared" si="10"/>
        <v>-0.16779385989163237</v>
      </c>
      <c r="R95" s="34">
        <f t="shared" si="11"/>
        <v>4.9569474423125162E-3</v>
      </c>
      <c r="S95" s="34">
        <f t="shared" si="13"/>
        <v>0.14092777735169101</v>
      </c>
      <c r="T95" s="35">
        <f t="shared" si="14"/>
        <v>484.49629630348755</v>
      </c>
      <c r="U95" s="59"/>
    </row>
    <row r="96" spans="12:21">
      <c r="L96" s="32">
        <f t="shared" si="12"/>
        <v>0</v>
      </c>
      <c r="M96" s="46" t="s">
        <v>162</v>
      </c>
      <c r="N96" s="33">
        <v>35.848909999999997</v>
      </c>
      <c r="O96" s="33">
        <v>-78.745090000000005</v>
      </c>
      <c r="P96" s="34">
        <f t="shared" si="9"/>
        <v>-2.8577323040454249E-2</v>
      </c>
      <c r="Q96" s="34">
        <f t="shared" si="10"/>
        <v>-0.18643153284197894</v>
      </c>
      <c r="R96" s="34">
        <f t="shared" si="11"/>
        <v>6.0117455216810367E-3</v>
      </c>
      <c r="S96" s="34">
        <f t="shared" si="13"/>
        <v>0.15522669004559564</v>
      </c>
      <c r="T96" s="35">
        <f t="shared" si="14"/>
        <v>533.65459831853445</v>
      </c>
      <c r="U96" s="59"/>
    </row>
    <row r="97" spans="12:21">
      <c r="L97" s="32">
        <f t="shared" si="12"/>
        <v>0</v>
      </c>
      <c r="M97" s="46" t="s">
        <v>163</v>
      </c>
      <c r="N97" s="33">
        <v>34.207120000000003</v>
      </c>
      <c r="O97" s="33">
        <v>-77.883240000000001</v>
      </c>
      <c r="P97" s="34">
        <f t="shared" si="9"/>
        <v>7.7318085863336021E-5</v>
      </c>
      <c r="Q97" s="34">
        <f t="shared" si="10"/>
        <v>-0.20147365300029213</v>
      </c>
      <c r="R97" s="34">
        <f t="shared" si="11"/>
        <v>6.9168206697485498E-3</v>
      </c>
      <c r="S97" s="34">
        <f t="shared" si="13"/>
        <v>0.16652720176325647</v>
      </c>
      <c r="T97" s="35">
        <f t="shared" si="14"/>
        <v>572.50468292518804</v>
      </c>
      <c r="U97" s="59"/>
    </row>
    <row r="98" spans="12:21">
      <c r="L98" s="32">
        <f t="shared" si="12"/>
        <v>0</v>
      </c>
      <c r="M98" s="46" t="s">
        <v>164</v>
      </c>
      <c r="N98" s="33">
        <v>46.820630000000001</v>
      </c>
      <c r="O98" s="33">
        <v>-100.80087</v>
      </c>
      <c r="P98" s="34">
        <f t="shared" si="9"/>
        <v>-0.22006996164736659</v>
      </c>
      <c r="Q98" s="34">
        <f t="shared" si="10"/>
        <v>0.19851444725353598</v>
      </c>
      <c r="R98" s="34">
        <f t="shared" si="11"/>
        <v>1.7615682977605979E-2</v>
      </c>
      <c r="S98" s="34">
        <f t="shared" si="13"/>
        <v>0.26623375705638669</v>
      </c>
      <c r="T98" s="35">
        <f t="shared" si="14"/>
        <v>915.28633792956134</v>
      </c>
      <c r="U98" s="59"/>
    </row>
    <row r="99" spans="12:21">
      <c r="L99" s="32">
        <f t="shared" si="12"/>
        <v>0</v>
      </c>
      <c r="M99" s="48" t="s">
        <v>165</v>
      </c>
      <c r="N99" s="33">
        <v>48.112909999999999</v>
      </c>
      <c r="O99" s="33">
        <v>-98.871039999999994</v>
      </c>
      <c r="P99" s="34">
        <f t="shared" si="9"/>
        <v>-0.24262450250503886</v>
      </c>
      <c r="Q99" s="34">
        <f t="shared" si="10"/>
        <v>0.16483255974977365</v>
      </c>
      <c r="R99" s="34">
        <f t="shared" si="11"/>
        <v>1.8386485596804364E-2</v>
      </c>
      <c r="S99" s="34">
        <f t="shared" si="13"/>
        <v>0.27203155315350391</v>
      </c>
      <c r="T99" s="35">
        <f t="shared" si="14"/>
        <v>935.21860954104159</v>
      </c>
      <c r="U99" s="59"/>
    </row>
    <row r="100" spans="12:21">
      <c r="L100" s="32">
        <f t="shared" si="12"/>
        <v>0</v>
      </c>
      <c r="M100" s="46" t="s">
        <v>166</v>
      </c>
      <c r="N100" s="33">
        <v>46.852879999999999</v>
      </c>
      <c r="O100" s="33">
        <v>-96.853930000000005</v>
      </c>
      <c r="P100" s="34">
        <f t="shared" si="9"/>
        <v>-0.2206328303311347</v>
      </c>
      <c r="Q100" s="34">
        <f t="shared" si="10"/>
        <v>0.12962734887487101</v>
      </c>
      <c r="R100" s="34">
        <f t="shared" si="11"/>
        <v>1.4492832811628834E-2</v>
      </c>
      <c r="S100" s="34">
        <f t="shared" si="13"/>
        <v>0.24135776886874497</v>
      </c>
      <c r="T100" s="35">
        <f t="shared" si="14"/>
        <v>829.76505624692572</v>
      </c>
      <c r="U100" s="59"/>
    </row>
    <row r="101" spans="12:21">
      <c r="L101" s="32">
        <f t="shared" si="12"/>
        <v>0</v>
      </c>
      <c r="M101" s="46" t="s">
        <v>167</v>
      </c>
      <c r="N101" s="33">
        <v>48.15849</v>
      </c>
      <c r="O101" s="33">
        <v>-103.65009999999999</v>
      </c>
      <c r="P101" s="34">
        <f t="shared" si="9"/>
        <v>-0.24342002357809792</v>
      </c>
      <c r="Q101" s="34">
        <f t="shared" si="10"/>
        <v>0.24824289190013388</v>
      </c>
      <c r="R101" s="34">
        <f t="shared" si="11"/>
        <v>2.3195519121473947E-2</v>
      </c>
      <c r="S101" s="34">
        <f t="shared" si="13"/>
        <v>0.30579153324388075</v>
      </c>
      <c r="T101" s="35">
        <f t="shared" si="14"/>
        <v>1051.2822105176506</v>
      </c>
      <c r="U101" s="59"/>
    </row>
    <row r="102" spans="12:21">
      <c r="L102" s="32">
        <f t="shared" si="12"/>
        <v>0</v>
      </c>
      <c r="M102" s="46" t="s">
        <v>168</v>
      </c>
      <c r="N102" s="33">
        <v>40.919350000000001</v>
      </c>
      <c r="O102" s="33">
        <v>-98.371510000000001</v>
      </c>
      <c r="P102" s="34">
        <f t="shared" si="9"/>
        <v>-0.11707319556527562</v>
      </c>
      <c r="Q102" s="34">
        <f t="shared" si="10"/>
        <v>0.15611411653728649</v>
      </c>
      <c r="R102" s="34">
        <f t="shared" si="11"/>
        <v>7.2222484050773073E-3</v>
      </c>
      <c r="S102" s="34">
        <f t="shared" si="13"/>
        <v>0.17017288441105805</v>
      </c>
      <c r="T102" s="35">
        <f t="shared" si="14"/>
        <v>585.03819316391002</v>
      </c>
      <c r="U102" s="59"/>
    </row>
    <row r="103" spans="12:21">
      <c r="L103" s="32">
        <f t="shared" si="12"/>
        <v>0</v>
      </c>
      <c r="M103" s="48" t="s">
        <v>169</v>
      </c>
      <c r="N103" s="33">
        <v>40.818440000000002</v>
      </c>
      <c r="O103" s="33">
        <v>-96.691659999999999</v>
      </c>
      <c r="P103" s="34">
        <f t="shared" si="9"/>
        <v>-0.11531198381708815</v>
      </c>
      <c r="Q103" s="34">
        <f t="shared" si="10"/>
        <v>0.12679520309765971</v>
      </c>
      <c r="R103" s="34">
        <f t="shared" si="11"/>
        <v>5.8325591121355883E-3</v>
      </c>
      <c r="S103" s="34">
        <f t="shared" si="13"/>
        <v>0.15289125679247725</v>
      </c>
      <c r="T103" s="35">
        <f t="shared" si="14"/>
        <v>525.62560089401586</v>
      </c>
      <c r="U103" s="59"/>
    </row>
    <row r="104" spans="12:21">
      <c r="L104" s="32">
        <f t="shared" si="12"/>
        <v>0</v>
      </c>
      <c r="M104" s="49" t="s">
        <v>170</v>
      </c>
      <c r="N104" s="33">
        <v>41.328330000000001</v>
      </c>
      <c r="O104" s="33">
        <v>-95.985510000000005</v>
      </c>
      <c r="P104" s="34">
        <f t="shared" si="9"/>
        <v>-0.12421124314008201</v>
      </c>
      <c r="Q104" s="34">
        <f t="shared" si="10"/>
        <v>0.11447056058470186</v>
      </c>
      <c r="R104" s="34">
        <f t="shared" si="11"/>
        <v>5.8842539724809975E-3</v>
      </c>
      <c r="S104" s="34">
        <f t="shared" si="13"/>
        <v>0.15356864018339453</v>
      </c>
      <c r="T104" s="35">
        <f t="shared" si="14"/>
        <v>527.954380572829</v>
      </c>
      <c r="U104" s="59"/>
    </row>
    <row r="105" spans="12:21">
      <c r="L105" s="32">
        <f t="shared" si="12"/>
        <v>0</v>
      </c>
      <c r="M105" s="46" t="s">
        <v>171</v>
      </c>
      <c r="N105" s="33">
        <v>41.12171</v>
      </c>
      <c r="O105" s="33">
        <v>-100.77811</v>
      </c>
      <c r="P105" s="34">
        <f t="shared" si="9"/>
        <v>-0.12060504383961132</v>
      </c>
      <c r="Q105" s="34">
        <f t="shared" si="10"/>
        <v>0.19811721031578197</v>
      </c>
      <c r="R105" s="34">
        <f t="shared" si="11"/>
        <v>9.7249428683646652E-3</v>
      </c>
      <c r="S105" s="34">
        <f t="shared" si="13"/>
        <v>0.19755133250365972</v>
      </c>
      <c r="T105" s="35">
        <f t="shared" si="14"/>
        <v>679.16269401586101</v>
      </c>
      <c r="U105" s="59"/>
    </row>
    <row r="106" spans="12:21">
      <c r="L106" s="32">
        <f t="shared" si="12"/>
        <v>0</v>
      </c>
      <c r="M106" s="46" t="s">
        <v>172</v>
      </c>
      <c r="N106" s="33">
        <v>41.853409999999997</v>
      </c>
      <c r="O106" s="33">
        <v>-103.68331000000001</v>
      </c>
      <c r="P106" s="34">
        <f t="shared" si="9"/>
        <v>-0.13337561797645378</v>
      </c>
      <c r="Q106" s="34">
        <f t="shared" si="10"/>
        <v>0.24882251574472139</v>
      </c>
      <c r="R106" s="34">
        <f t="shared" si="11"/>
        <v>1.3925671646757561E-2</v>
      </c>
      <c r="S106" s="34">
        <f t="shared" si="13"/>
        <v>0.23656540342906501</v>
      </c>
      <c r="T106" s="35">
        <f t="shared" si="14"/>
        <v>813.28935961925936</v>
      </c>
      <c r="U106" s="59"/>
    </row>
    <row r="107" spans="12:21">
      <c r="L107" s="32">
        <f t="shared" si="12"/>
        <v>0</v>
      </c>
      <c r="M107" s="46" t="s">
        <v>173</v>
      </c>
      <c r="N107" s="33">
        <v>42.875030000000002</v>
      </c>
      <c r="O107" s="33">
        <v>-100.54711</v>
      </c>
      <c r="P107" s="34">
        <f t="shared" si="9"/>
        <v>-0.15120625068067833</v>
      </c>
      <c r="Q107" s="34">
        <f t="shared" si="10"/>
        <v>0.19408549974367517</v>
      </c>
      <c r="R107" s="34">
        <f t="shared" si="11"/>
        <v>1.1394261208070681E-2</v>
      </c>
      <c r="S107" s="34">
        <f t="shared" si="13"/>
        <v>0.2138953251884087</v>
      </c>
      <c r="T107" s="35">
        <f t="shared" si="14"/>
        <v>735.35178655232369</v>
      </c>
      <c r="U107" s="59"/>
    </row>
    <row r="108" spans="12:21">
      <c r="L108" s="32">
        <f t="shared" si="12"/>
        <v>0</v>
      </c>
      <c r="M108" s="46" t="s">
        <v>174</v>
      </c>
      <c r="N108" s="33">
        <v>43.22972</v>
      </c>
      <c r="O108" s="33">
        <v>-71.5839</v>
      </c>
      <c r="P108" s="34">
        <f t="shared" si="9"/>
        <v>-0.157396759004577</v>
      </c>
      <c r="Q108" s="34">
        <f t="shared" si="10"/>
        <v>-0.31141787670287174</v>
      </c>
      <c r="R108" s="34">
        <f t="shared" si="11"/>
        <v>2.0671709978265729E-2</v>
      </c>
      <c r="S108" s="34">
        <f t="shared" si="13"/>
        <v>0.28855322843570752</v>
      </c>
      <c r="T108" s="35">
        <f t="shared" si="14"/>
        <v>992.01855794993821</v>
      </c>
      <c r="U108" s="59"/>
    </row>
    <row r="109" spans="12:21">
      <c r="L109" s="32">
        <f t="shared" si="12"/>
        <v>0</v>
      </c>
      <c r="M109" s="46" t="s">
        <v>175</v>
      </c>
      <c r="N109" s="33">
        <v>44.270519999999998</v>
      </c>
      <c r="O109" s="33">
        <v>-71.303190000000001</v>
      </c>
      <c r="P109" s="34">
        <f t="shared" si="9"/>
        <v>-0.17556214585933391</v>
      </c>
      <c r="Q109" s="34">
        <f t="shared" si="10"/>
        <v>-0.31631719044614504</v>
      </c>
      <c r="R109" s="34">
        <f t="shared" si="11"/>
        <v>2.237481446842142E-2</v>
      </c>
      <c r="S109" s="34">
        <f t="shared" si="13"/>
        <v>0.30029127462663591</v>
      </c>
      <c r="T109" s="35">
        <f t="shared" si="14"/>
        <v>1032.3728444661572</v>
      </c>
      <c r="U109" s="59"/>
    </row>
    <row r="110" spans="12:21">
      <c r="L110" s="32">
        <f t="shared" si="12"/>
        <v>0</v>
      </c>
      <c r="M110" s="46" t="s">
        <v>176</v>
      </c>
      <c r="N110" s="33">
        <v>39.36083</v>
      </c>
      <c r="O110" s="33">
        <v>-74.457549999999998</v>
      </c>
      <c r="P110" s="34">
        <f t="shared" si="9"/>
        <v>-8.9871890107093566E-2</v>
      </c>
      <c r="Q110" s="34">
        <f t="shared" si="10"/>
        <v>-0.26126322265293672</v>
      </c>
      <c r="R110" s="34">
        <f t="shared" si="11"/>
        <v>1.2866802898737718E-2</v>
      </c>
      <c r="S110" s="34">
        <f t="shared" si="13"/>
        <v>0.22735320210813714</v>
      </c>
      <c r="T110" s="35">
        <f t="shared" si="14"/>
        <v>781.61868755825503</v>
      </c>
      <c r="U110" s="59"/>
    </row>
    <row r="111" spans="12:21">
      <c r="L111" s="32">
        <f t="shared" si="12"/>
        <v>0</v>
      </c>
      <c r="M111" s="46" t="s">
        <v>177</v>
      </c>
      <c r="N111" s="33">
        <v>40.218559999999997</v>
      </c>
      <c r="O111" s="33">
        <v>-74.762450000000001</v>
      </c>
      <c r="P111" s="34">
        <f t="shared" si="9"/>
        <v>-0.10484210270022447</v>
      </c>
      <c r="Q111" s="34">
        <f t="shared" si="10"/>
        <v>-0.25594171376360597</v>
      </c>
      <c r="R111" s="34">
        <f t="shared" si="11"/>
        <v>1.3030275168563222E-2</v>
      </c>
      <c r="S111" s="34">
        <f t="shared" si="13"/>
        <v>0.22879919432217141</v>
      </c>
      <c r="T111" s="35">
        <f t="shared" si="14"/>
        <v>786.58987127624528</v>
      </c>
      <c r="U111" s="59"/>
    </row>
    <row r="112" spans="12:21">
      <c r="L112" s="32">
        <f t="shared" si="12"/>
        <v>0</v>
      </c>
      <c r="M112" s="46" t="s">
        <v>178</v>
      </c>
      <c r="N112" s="33">
        <v>35.090409999999999</v>
      </c>
      <c r="O112" s="33">
        <v>-106.6746</v>
      </c>
      <c r="P112" s="34">
        <f t="shared" si="9"/>
        <v>-1.5339000664077295E-2</v>
      </c>
      <c r="Q112" s="34">
        <f t="shared" si="10"/>
        <v>0.30103037512670244</v>
      </c>
      <c r="R112" s="34">
        <f t="shared" si="11"/>
        <v>1.5273076129178604E-2</v>
      </c>
      <c r="S112" s="34">
        <f t="shared" si="13"/>
        <v>0.24780210978647013</v>
      </c>
      <c r="T112" s="35">
        <f t="shared" si="14"/>
        <v>851.92008746524357</v>
      </c>
      <c r="U112" s="59"/>
    </row>
    <row r="113" spans="12:21">
      <c r="L113" s="32">
        <f t="shared" si="12"/>
        <v>0</v>
      </c>
      <c r="M113" s="46" t="s">
        <v>179</v>
      </c>
      <c r="N113" s="33">
        <v>33.392470000000003</v>
      </c>
      <c r="O113" s="33">
        <v>-104.51322999999999</v>
      </c>
      <c r="P113" s="34">
        <f t="shared" si="9"/>
        <v>1.4295642837235147E-2</v>
      </c>
      <c r="Q113" s="34">
        <f t="shared" si="10"/>
        <v>0.2633073522728725</v>
      </c>
      <c r="R113" s="34">
        <f t="shared" si="11"/>
        <v>1.1949492687490747E-2</v>
      </c>
      <c r="S113" s="34">
        <f t="shared" si="13"/>
        <v>0.21906524294671104</v>
      </c>
      <c r="T113" s="35">
        <f t="shared" si="14"/>
        <v>753.12547214618826</v>
      </c>
      <c r="U113" s="59"/>
    </row>
    <row r="114" spans="12:21">
      <c r="L114" s="32">
        <f t="shared" si="12"/>
        <v>0</v>
      </c>
      <c r="M114" s="48" t="s">
        <v>180</v>
      </c>
      <c r="N114" s="33">
        <v>39.267319999999998</v>
      </c>
      <c r="O114" s="33">
        <v>-114.85995</v>
      </c>
      <c r="P114" s="34">
        <f t="shared" si="9"/>
        <v>-8.8239832723553638E-2</v>
      </c>
      <c r="Q114" s="34">
        <f t="shared" si="10"/>
        <v>0.4438916830548203</v>
      </c>
      <c r="R114" s="34">
        <f t="shared" si="11"/>
        <v>3.2968990790692702E-2</v>
      </c>
      <c r="S114" s="34">
        <f t="shared" si="13"/>
        <v>0.36517293430535031</v>
      </c>
      <c r="T114" s="35">
        <f t="shared" si="14"/>
        <v>1255.429820195742</v>
      </c>
      <c r="U114" s="59"/>
    </row>
    <row r="115" spans="12:21">
      <c r="L115" s="32">
        <f t="shared" si="12"/>
        <v>0</v>
      </c>
      <c r="M115" s="46" t="s">
        <v>181</v>
      </c>
      <c r="N115" s="33">
        <v>36.079389999999997</v>
      </c>
      <c r="O115" s="33">
        <v>-115.17659</v>
      </c>
      <c r="P115" s="34">
        <f t="shared" si="9"/>
        <v>-3.2599957900450782E-2</v>
      </c>
      <c r="Q115" s="34">
        <f t="shared" si="10"/>
        <v>0.44941809359833523</v>
      </c>
      <c r="R115" s="34">
        <f t="shared" si="11"/>
        <v>3.3449541150280107E-2</v>
      </c>
      <c r="S115" s="34">
        <f t="shared" si="13"/>
        <v>0.36785485424249614</v>
      </c>
      <c r="T115" s="35">
        <f t="shared" si="14"/>
        <v>1264.6500058890633</v>
      </c>
      <c r="U115" s="59"/>
    </row>
    <row r="116" spans="12:21">
      <c r="L116" s="32">
        <f t="shared" si="12"/>
        <v>0</v>
      </c>
      <c r="M116" s="46" t="s">
        <v>182</v>
      </c>
      <c r="N116" s="33">
        <v>39.524830000000001</v>
      </c>
      <c r="O116" s="33">
        <v>-119.84367</v>
      </c>
      <c r="P116" s="34">
        <f t="shared" si="9"/>
        <v>-9.2734230080364299E-2</v>
      </c>
      <c r="Q116" s="34">
        <f t="shared" si="10"/>
        <v>0.53087400605231216</v>
      </c>
      <c r="R116" s="34">
        <f t="shared" si="11"/>
        <v>4.6045723997136911E-2</v>
      </c>
      <c r="S116" s="34">
        <f t="shared" si="13"/>
        <v>0.43252906139534292</v>
      </c>
      <c r="T116" s="35">
        <f t="shared" si="14"/>
        <v>1486.9937795634503</v>
      </c>
      <c r="U116" s="59"/>
    </row>
    <row r="117" spans="12:21">
      <c r="L117" s="32">
        <f t="shared" si="12"/>
        <v>0</v>
      </c>
      <c r="M117" s="46" t="s">
        <v>183</v>
      </c>
      <c r="N117" s="33">
        <v>40.972259999999999</v>
      </c>
      <c r="O117" s="33">
        <v>-117.7227</v>
      </c>
      <c r="P117" s="34">
        <f t="shared" si="9"/>
        <v>-0.11799664927250576</v>
      </c>
      <c r="Q117" s="34">
        <f t="shared" si="10"/>
        <v>0.49385609621628801</v>
      </c>
      <c r="R117" s="34">
        <f t="shared" si="11"/>
        <v>4.0780034322932313E-2</v>
      </c>
      <c r="S117" s="34">
        <f t="shared" si="13"/>
        <v>0.40667802197225361</v>
      </c>
      <c r="T117" s="35">
        <f t="shared" si="14"/>
        <v>1398.1203644607183</v>
      </c>
      <c r="U117" s="59"/>
    </row>
    <row r="118" spans="12:21">
      <c r="L118" s="32">
        <f t="shared" si="12"/>
        <v>0</v>
      </c>
      <c r="M118" s="46" t="s">
        <v>184</v>
      </c>
      <c r="N118" s="33">
        <v>42.656260000000003</v>
      </c>
      <c r="O118" s="33">
        <v>-73.770859999999999</v>
      </c>
      <c r="P118" s="34">
        <f t="shared" si="9"/>
        <v>-0.14738799387609036</v>
      </c>
      <c r="Q118" s="34">
        <f t="shared" si="10"/>
        <v>-0.27324822409345656</v>
      </c>
      <c r="R118" s="34">
        <f t="shared" si="11"/>
        <v>1.6702867111003696E-2</v>
      </c>
      <c r="S118" s="34">
        <f t="shared" si="13"/>
        <v>0.259204165010891</v>
      </c>
      <c r="T118" s="35">
        <f t="shared" si="14"/>
        <v>891.11926899135074</v>
      </c>
      <c r="U118" s="59"/>
    </row>
    <row r="119" spans="12:21">
      <c r="L119" s="32">
        <f t="shared" si="12"/>
        <v>0</v>
      </c>
      <c r="M119" s="46" t="s">
        <v>185</v>
      </c>
      <c r="N119" s="33">
        <v>42.10127</v>
      </c>
      <c r="O119" s="33">
        <v>-75.909440000000004</v>
      </c>
      <c r="P119" s="34">
        <f t="shared" si="9"/>
        <v>-0.13770159106044697</v>
      </c>
      <c r="Q119" s="34">
        <f t="shared" si="10"/>
        <v>-0.23592296177615615</v>
      </c>
      <c r="R119" s="34">
        <f t="shared" si="11"/>
        <v>1.3231293684927439E-2</v>
      </c>
      <c r="S119" s="34">
        <f t="shared" si="13"/>
        <v>0.23056508608132117</v>
      </c>
      <c r="T119" s="35">
        <f t="shared" si="14"/>
        <v>792.66083920789583</v>
      </c>
      <c r="U119" s="59"/>
    </row>
    <row r="120" spans="12:21">
      <c r="L120" s="32">
        <f t="shared" si="12"/>
        <v>0</v>
      </c>
      <c r="M120" s="48" t="s">
        <v>186</v>
      </c>
      <c r="N120" s="33">
        <v>42.879899999999999</v>
      </c>
      <c r="O120" s="33">
        <v>-78.874229999999997</v>
      </c>
      <c r="P120" s="34">
        <f t="shared" si="9"/>
        <v>-0.15129124821525042</v>
      </c>
      <c r="Q120" s="34">
        <f t="shared" si="10"/>
        <v>-0.18417761464595359</v>
      </c>
      <c r="R120" s="34">
        <f t="shared" si="11"/>
        <v>1.0835819755752332E-2</v>
      </c>
      <c r="S120" s="34">
        <f t="shared" si="13"/>
        <v>0.20856831838003159</v>
      </c>
      <c r="T120" s="35">
        <f t="shared" si="14"/>
        <v>717.03804374347067</v>
      </c>
      <c r="U120" s="59"/>
    </row>
    <row r="121" spans="12:21">
      <c r="L121" s="32">
        <f t="shared" si="12"/>
        <v>0</v>
      </c>
      <c r="M121" s="46" t="s">
        <v>187</v>
      </c>
      <c r="N121" s="33">
        <v>40.732430000000001</v>
      </c>
      <c r="O121" s="33">
        <v>-73.932149999999993</v>
      </c>
      <c r="P121" s="34">
        <f t="shared" si="9"/>
        <v>-0.11381082612744781</v>
      </c>
      <c r="Q121" s="34">
        <f t="shared" si="10"/>
        <v>-0.27043318254291504</v>
      </c>
      <c r="R121" s="34">
        <f t="shared" si="11"/>
        <v>1.4622391385195218E-2</v>
      </c>
      <c r="S121" s="34">
        <f t="shared" si="13"/>
        <v>0.24243946812560591</v>
      </c>
      <c r="T121" s="35">
        <f t="shared" si="14"/>
        <v>833.48383542241436</v>
      </c>
      <c r="U121" s="59"/>
    </row>
    <row r="122" spans="12:21">
      <c r="L122" s="32">
        <f t="shared" si="12"/>
        <v>0</v>
      </c>
      <c r="M122" s="46" t="s">
        <v>188</v>
      </c>
      <c r="N122" s="33">
        <v>43.465139999999998</v>
      </c>
      <c r="O122" s="33">
        <v>-76.50658</v>
      </c>
      <c r="P122" s="34">
        <f t="shared" si="9"/>
        <v>-0.161505613129622</v>
      </c>
      <c r="Q122" s="34">
        <f t="shared" si="10"/>
        <v>-0.22550090268079728</v>
      </c>
      <c r="R122" s="34">
        <f t="shared" si="11"/>
        <v>1.4104805871350811E-2</v>
      </c>
      <c r="S122" s="34">
        <f t="shared" si="13"/>
        <v>0.23808926463494473</v>
      </c>
      <c r="T122" s="35">
        <f t="shared" si="14"/>
        <v>818.52824952587321</v>
      </c>
      <c r="U122" s="59"/>
    </row>
    <row r="123" spans="12:21">
      <c r="L123" s="32">
        <f t="shared" si="12"/>
        <v>0</v>
      </c>
      <c r="M123" s="46" t="s">
        <v>189</v>
      </c>
      <c r="N123" s="33">
        <v>43.162619999999997</v>
      </c>
      <c r="O123" s="33">
        <v>-77.629109999999997</v>
      </c>
      <c r="P123" s="34">
        <f t="shared" si="9"/>
        <v>-0.15622564307648873</v>
      </c>
      <c r="Q123" s="34">
        <f t="shared" si="10"/>
        <v>-0.20590905822838537</v>
      </c>
      <c r="R123" s="34">
        <f t="shared" si="11"/>
        <v>1.2460379674190246E-2</v>
      </c>
      <c r="S123" s="34">
        <f t="shared" si="13"/>
        <v>0.22371839505946675</v>
      </c>
      <c r="T123" s="35">
        <f t="shared" si="14"/>
        <v>769.12256659507659</v>
      </c>
      <c r="U123" s="59"/>
    </row>
    <row r="124" spans="12:21">
      <c r="L124" s="32">
        <f t="shared" si="12"/>
        <v>0</v>
      </c>
      <c r="M124" s="46" t="s">
        <v>190</v>
      </c>
      <c r="N124" s="33">
        <v>43.03051</v>
      </c>
      <c r="O124" s="33">
        <v>-76.135850000000005</v>
      </c>
      <c r="P124" s="34">
        <f t="shared" si="9"/>
        <v>-0.15391988860167907</v>
      </c>
      <c r="Q124" s="34">
        <f t="shared" si="10"/>
        <v>-0.23197136181671577</v>
      </c>
      <c r="R124" s="34">
        <f t="shared" si="11"/>
        <v>1.4006960824099864E-2</v>
      </c>
      <c r="S124" s="34">
        <f t="shared" si="13"/>
        <v>0.23725810531928321</v>
      </c>
      <c r="T124" s="35">
        <f t="shared" si="14"/>
        <v>815.67080284187978</v>
      </c>
      <c r="U124" s="59"/>
    </row>
    <row r="125" spans="12:21">
      <c r="L125" s="32">
        <f t="shared" si="12"/>
        <v>0</v>
      </c>
      <c r="M125" s="46" t="s">
        <v>191</v>
      </c>
      <c r="N125" s="33">
        <v>41.084510000000002</v>
      </c>
      <c r="O125" s="33">
        <v>-81.509730000000005</v>
      </c>
      <c r="P125" s="34">
        <f t="shared" si="9"/>
        <v>-0.11995578135786945</v>
      </c>
      <c r="Q125" s="34">
        <f t="shared" si="10"/>
        <v>-0.13817946220964289</v>
      </c>
      <c r="R125" s="34">
        <f t="shared" si="11"/>
        <v>6.5636508459839702E-3</v>
      </c>
      <c r="S125" s="34">
        <f t="shared" si="13"/>
        <v>0.16221050315952515</v>
      </c>
      <c r="T125" s="35">
        <f t="shared" si="14"/>
        <v>557.66428364359695</v>
      </c>
      <c r="U125" s="59"/>
    </row>
    <row r="126" spans="12:21">
      <c r="L126" s="32">
        <f t="shared" si="12"/>
        <v>0</v>
      </c>
      <c r="M126" s="46" t="s">
        <v>192</v>
      </c>
      <c r="N126" s="33">
        <v>41.456609999999998</v>
      </c>
      <c r="O126" s="33">
        <v>-81.695570000000004</v>
      </c>
      <c r="P126" s="34">
        <f t="shared" si="9"/>
        <v>-0.12645015150454028</v>
      </c>
      <c r="Q126" s="34">
        <f t="shared" si="10"/>
        <v>-0.13493594232773665</v>
      </c>
      <c r="R126" s="34">
        <f t="shared" si="11"/>
        <v>6.808986750569259E-3</v>
      </c>
      <c r="S126" s="34">
        <f t="shared" si="13"/>
        <v>0.16522103036294236</v>
      </c>
      <c r="T126" s="35">
        <f t="shared" si="14"/>
        <v>568.01418986780834</v>
      </c>
      <c r="U126" s="59"/>
    </row>
    <row r="127" spans="12:21">
      <c r="L127" s="32">
        <f t="shared" si="12"/>
        <v>0</v>
      </c>
      <c r="M127" s="48" t="s">
        <v>193</v>
      </c>
      <c r="N127" s="33">
        <v>39.995190000000001</v>
      </c>
      <c r="O127" s="33">
        <v>-82.988569999999996</v>
      </c>
      <c r="P127" s="34">
        <f t="shared" si="9"/>
        <v>-0.10094356075004481</v>
      </c>
      <c r="Q127" s="34">
        <f t="shared" si="10"/>
        <v>-0.11236883509945012</v>
      </c>
      <c r="R127" s="34">
        <f t="shared" si="11"/>
        <v>4.5430180202620917E-3</v>
      </c>
      <c r="S127" s="34">
        <f t="shared" si="13"/>
        <v>0.13490610674188119</v>
      </c>
      <c r="T127" s="35">
        <f t="shared" si="14"/>
        <v>463.79436540783638</v>
      </c>
      <c r="U127" s="59"/>
    </row>
    <row r="128" spans="12:21">
      <c r="L128" s="32">
        <f t="shared" si="12"/>
        <v>0</v>
      </c>
      <c r="M128" s="49" t="s">
        <v>194</v>
      </c>
      <c r="N128" s="33">
        <v>39.757210000000001</v>
      </c>
      <c r="O128" s="33">
        <v>-84.176079999999999</v>
      </c>
      <c r="P128" s="34">
        <f t="shared" si="9"/>
        <v>-9.6790026196148696E-2</v>
      </c>
      <c r="Q128" s="34">
        <f t="shared" si="10"/>
        <v>-9.1642875699092199E-2</v>
      </c>
      <c r="R128" s="34">
        <f t="shared" si="11"/>
        <v>3.6741188314755001E-3</v>
      </c>
      <c r="S128" s="34">
        <f t="shared" si="13"/>
        <v>0.1213033781241299</v>
      </c>
      <c r="T128" s="35">
        <f t="shared" si="14"/>
        <v>417.029478039499</v>
      </c>
      <c r="U128" s="59"/>
    </row>
    <row r="129" spans="12:21">
      <c r="L129" s="32">
        <f t="shared" si="12"/>
        <v>0</v>
      </c>
      <c r="M129" s="46" t="s">
        <v>195</v>
      </c>
      <c r="N129" s="33">
        <v>41.448869999999999</v>
      </c>
      <c r="O129" s="33">
        <v>-82.713980000000006</v>
      </c>
      <c r="P129" s="34">
        <f t="shared" si="9"/>
        <v>-0.12631506302043596</v>
      </c>
      <c r="Q129" s="34">
        <f t="shared" si="10"/>
        <v>-0.11716133469250116</v>
      </c>
      <c r="R129" s="34">
        <f t="shared" si="11"/>
        <v>6.1082787431973769E-3</v>
      </c>
      <c r="S129" s="34">
        <f t="shared" si="13"/>
        <v>0.15647052684456703</v>
      </c>
      <c r="T129" s="35">
        <f t="shared" si="14"/>
        <v>537.93079094451855</v>
      </c>
      <c r="U129" s="59"/>
    </row>
    <row r="130" spans="12:21">
      <c r="L130" s="32">
        <f t="shared" si="12"/>
        <v>0</v>
      </c>
      <c r="M130" s="46" t="s">
        <v>196</v>
      </c>
      <c r="N130" s="33">
        <v>41.666789999999999</v>
      </c>
      <c r="O130" s="33">
        <v>-83.601389999999995</v>
      </c>
      <c r="P130" s="34">
        <f t="shared" si="9"/>
        <v>-0.130118484526382</v>
      </c>
      <c r="Q130" s="34">
        <f t="shared" si="10"/>
        <v>-0.10167310837737847</v>
      </c>
      <c r="R130" s="34">
        <f t="shared" si="11"/>
        <v>5.8218834414981453E-3</v>
      </c>
      <c r="S130" s="34">
        <f t="shared" si="13"/>
        <v>0.15275099689302216</v>
      </c>
      <c r="T130" s="35">
        <f t="shared" si="14"/>
        <v>525.14340069840569</v>
      </c>
      <c r="U130" s="59"/>
    </row>
    <row r="131" spans="12:21">
      <c r="L131" s="32">
        <f t="shared" si="12"/>
        <v>0</v>
      </c>
      <c r="M131" s="46" t="s">
        <v>197</v>
      </c>
      <c r="N131" s="33">
        <v>35.473520000000001</v>
      </c>
      <c r="O131" s="33">
        <v>-97.474090000000004</v>
      </c>
      <c r="P131" s="34">
        <f t="shared" si="9"/>
        <v>-2.2025531561392805E-2</v>
      </c>
      <c r="Q131" s="34">
        <f t="shared" si="10"/>
        <v>0.14045118276403903</v>
      </c>
      <c r="R131" s="34">
        <f t="shared" si="11"/>
        <v>3.4371210076608112E-3</v>
      </c>
      <c r="S131" s="34">
        <f t="shared" si="13"/>
        <v>0.11732120313065941</v>
      </c>
      <c r="T131" s="35">
        <f t="shared" si="14"/>
        <v>403.33913911678934</v>
      </c>
      <c r="U131" s="59"/>
    </row>
    <row r="132" spans="12:21">
      <c r="L132" s="32">
        <f t="shared" si="12"/>
        <v>0</v>
      </c>
      <c r="M132" s="48" t="s">
        <v>198</v>
      </c>
      <c r="N132" s="33">
        <v>36.215730000000001</v>
      </c>
      <c r="O132" s="33">
        <v>-95.896529999999998</v>
      </c>
      <c r="P132" s="34">
        <f t="shared" ref="P132:P191" si="15">(PI()/180)*($K$4-N132)</f>
        <v>-3.4979539802619919E-2</v>
      </c>
      <c r="Q132" s="34">
        <f t="shared" ref="Q132:Q191" si="16">(PI()/180)*($K$5-O132)</f>
        <v>0.11291756661627719</v>
      </c>
      <c r="R132" s="34">
        <f t="shared" ref="R132:R191" si="17">SIN(P132/2)*SIN(P132/2)+COS(PI()*$K$4/180)*COS(PI()*N132/180)*SIN(Q132/2)*SIN(Q132/2)</f>
        <v>2.4303510333783741E-3</v>
      </c>
      <c r="S132" s="34">
        <f t="shared" si="13"/>
        <v>9.863716253238608E-2</v>
      </c>
      <c r="T132" s="35">
        <f t="shared" si="14"/>
        <v>339.10518439218652</v>
      </c>
      <c r="U132" s="59"/>
    </row>
    <row r="133" spans="12:21">
      <c r="L133" s="32">
        <f t="shared" ref="L133:L191" si="18">IF(T133=$K$7,1,0)</f>
        <v>0</v>
      </c>
      <c r="M133" s="49" t="s">
        <v>199</v>
      </c>
      <c r="N133" s="33">
        <v>44.765320000000003</v>
      </c>
      <c r="O133" s="33">
        <v>-117.81997</v>
      </c>
      <c r="P133" s="34">
        <f t="shared" si="15"/>
        <v>-0.18419803499820195</v>
      </c>
      <c r="Q133" s="34">
        <f t="shared" si="16"/>
        <v>0.49555377797970285</v>
      </c>
      <c r="R133" s="34">
        <f t="shared" si="17"/>
        <v>4.3773387948829158E-2</v>
      </c>
      <c r="S133" s="34">
        <f t="shared" ref="S133:S191" si="19">2*ATAN(SQRT(R133)/SQRT(1-R133))</f>
        <v>0.42155633199254766</v>
      </c>
      <c r="T133" s="35">
        <f t="shared" ref="T133:T191" si="20">$P$2*S133</f>
        <v>1449.2705793832063</v>
      </c>
      <c r="U133" s="59"/>
    </row>
    <row r="134" spans="12:21">
      <c r="L134" s="32">
        <f t="shared" si="18"/>
        <v>0</v>
      </c>
      <c r="M134" s="49" t="s">
        <v>200</v>
      </c>
      <c r="N134" s="33">
        <v>42.330150000000003</v>
      </c>
      <c r="O134" s="33">
        <v>-122.86868</v>
      </c>
      <c r="P134" s="34">
        <f t="shared" si="15"/>
        <v>-0.14169630065241165</v>
      </c>
      <c r="Q134" s="34">
        <f t="shared" si="16"/>
        <v>0.58367039045806579</v>
      </c>
      <c r="R134" s="34">
        <f t="shared" si="17"/>
        <v>5.5617562096266296E-2</v>
      </c>
      <c r="S134" s="34">
        <f t="shared" si="19"/>
        <v>0.47615287692327907</v>
      </c>
      <c r="T134" s="35">
        <f t="shared" si="20"/>
        <v>1636.9683087236381</v>
      </c>
      <c r="U134" s="59"/>
    </row>
    <row r="135" spans="12:21">
      <c r="L135" s="32">
        <f t="shared" si="18"/>
        <v>0</v>
      </c>
      <c r="M135" s="49" t="s">
        <v>201</v>
      </c>
      <c r="N135" s="33">
        <v>45.5184</v>
      </c>
      <c r="O135" s="33">
        <v>-122.64118999999999</v>
      </c>
      <c r="P135" s="34">
        <f t="shared" si="15"/>
        <v>-0.19734176052912081</v>
      </c>
      <c r="Q135" s="34">
        <f t="shared" si="16"/>
        <v>0.57969994094270383</v>
      </c>
      <c r="R135" s="34">
        <f t="shared" si="17"/>
        <v>5.7036761750727256E-2</v>
      </c>
      <c r="S135" s="34">
        <f t="shared" si="19"/>
        <v>0.48230864343217145</v>
      </c>
      <c r="T135" s="35">
        <f t="shared" si="20"/>
        <v>1658.131248567815</v>
      </c>
      <c r="U135" s="59"/>
    </row>
    <row r="136" spans="12:21">
      <c r="L136" s="32">
        <f t="shared" si="18"/>
        <v>0</v>
      </c>
      <c r="M136" s="49" t="s">
        <v>202</v>
      </c>
      <c r="N136" s="33">
        <v>43.22186</v>
      </c>
      <c r="O136" s="33">
        <v>-123.37134</v>
      </c>
      <c r="P136" s="34">
        <f t="shared" si="15"/>
        <v>-0.15725957612537023</v>
      </c>
      <c r="Q136" s="34">
        <f t="shared" si="16"/>
        <v>0.59244346247614055</v>
      </c>
      <c r="R136" s="34">
        <f t="shared" si="17"/>
        <v>5.7519295935831112E-2</v>
      </c>
      <c r="S136" s="34">
        <f t="shared" si="19"/>
        <v>0.48438519713792683</v>
      </c>
      <c r="T136" s="35">
        <f t="shared" si="20"/>
        <v>1665.2702427279446</v>
      </c>
      <c r="U136" s="59"/>
    </row>
    <row r="137" spans="12:21">
      <c r="L137" s="32">
        <f t="shared" si="18"/>
        <v>0</v>
      </c>
      <c r="M137" s="49" t="s">
        <v>203</v>
      </c>
      <c r="N137" s="33">
        <v>42.110590000000002</v>
      </c>
      <c r="O137" s="33">
        <v>-80.086399999999998</v>
      </c>
      <c r="P137" s="34">
        <f t="shared" si="15"/>
        <v>-0.13786425574673289</v>
      </c>
      <c r="Q137" s="34">
        <f t="shared" si="16"/>
        <v>-0.16302125705205392</v>
      </c>
      <c r="R137" s="34">
        <f t="shared" si="17"/>
        <v>8.8110965358400919E-3</v>
      </c>
      <c r="S137" s="34">
        <f t="shared" si="19"/>
        <v>0.18801167317511899</v>
      </c>
      <c r="T137" s="35">
        <f t="shared" si="20"/>
        <v>646.36625246594019</v>
      </c>
      <c r="U137" s="59"/>
    </row>
    <row r="138" spans="12:21">
      <c r="L138" s="32">
        <f t="shared" si="18"/>
        <v>0</v>
      </c>
      <c r="M138" s="49" t="s">
        <v>204</v>
      </c>
      <c r="N138" s="33">
        <v>40.272399999999998</v>
      </c>
      <c r="O138" s="33">
        <v>-76.87236</v>
      </c>
      <c r="P138" s="34">
        <f t="shared" si="15"/>
        <v>-0.10578178796949823</v>
      </c>
      <c r="Q138" s="34">
        <f t="shared" si="16"/>
        <v>-0.21911683734285242</v>
      </c>
      <c r="R138" s="34">
        <f t="shared" si="17"/>
        <v>1.0338020439145831E-2</v>
      </c>
      <c r="S138" s="34">
        <f t="shared" si="19"/>
        <v>0.20370412921543005</v>
      </c>
      <c r="T138" s="35">
        <f t="shared" si="20"/>
        <v>700.31542397996009</v>
      </c>
      <c r="U138" s="59"/>
    </row>
    <row r="139" spans="12:21">
      <c r="L139" s="32">
        <f t="shared" si="18"/>
        <v>0</v>
      </c>
      <c r="M139" s="46" t="s">
        <v>205</v>
      </c>
      <c r="N139" s="33">
        <v>39.982439999999997</v>
      </c>
      <c r="O139" s="33">
        <v>-75.134630000000001</v>
      </c>
      <c r="P139" s="34">
        <f t="shared" si="15"/>
        <v>-0.10072103127041547</v>
      </c>
      <c r="Q139" s="34">
        <f t="shared" si="16"/>
        <v>-0.24944594735353345</v>
      </c>
      <c r="R139" s="34">
        <f t="shared" si="17"/>
        <v>1.2340079934934689E-2</v>
      </c>
      <c r="S139" s="34">
        <f t="shared" si="19"/>
        <v>0.22263131733672842</v>
      </c>
      <c r="T139" s="35">
        <f t="shared" si="20"/>
        <v>765.3852967653936</v>
      </c>
      <c r="U139" s="59"/>
    </row>
    <row r="140" spans="12:21">
      <c r="L140" s="32">
        <f t="shared" si="18"/>
        <v>0</v>
      </c>
      <c r="M140" s="46" t="s">
        <v>206</v>
      </c>
      <c r="N140" s="33">
        <v>40.432949999999998</v>
      </c>
      <c r="O140" s="33">
        <v>-79.944029999999998</v>
      </c>
      <c r="P140" s="34">
        <f t="shared" si="15"/>
        <v>-0.10858391408357514</v>
      </c>
      <c r="Q140" s="34">
        <f t="shared" si="16"/>
        <v>-0.16550608230811822</v>
      </c>
      <c r="R140" s="34">
        <f t="shared" si="17"/>
        <v>7.2454668754374854E-3</v>
      </c>
      <c r="S140" s="34">
        <f t="shared" si="19"/>
        <v>0.170446868464455</v>
      </c>
      <c r="T140" s="35">
        <f t="shared" si="20"/>
        <v>585.98012428360528</v>
      </c>
      <c r="U140" s="59"/>
    </row>
    <row r="141" spans="12:21">
      <c r="L141" s="32">
        <f t="shared" si="18"/>
        <v>0</v>
      </c>
      <c r="M141" s="46" t="s">
        <v>207</v>
      </c>
      <c r="N141" s="33">
        <v>40.32987</v>
      </c>
      <c r="O141" s="33">
        <v>-75.932940000000002</v>
      </c>
      <c r="P141" s="34">
        <f t="shared" si="15"/>
        <v>-0.10678482869061941</v>
      </c>
      <c r="Q141" s="34">
        <f t="shared" si="16"/>
        <v>-0.23551280940193753</v>
      </c>
      <c r="R141" s="34">
        <f t="shared" si="17"/>
        <v>1.1549512785720816E-2</v>
      </c>
      <c r="S141" s="34">
        <f t="shared" si="19"/>
        <v>0.21535322119482841</v>
      </c>
      <c r="T141" s="35">
        <f t="shared" si="20"/>
        <v>740.3638943764845</v>
      </c>
      <c r="U141" s="59"/>
    </row>
    <row r="142" spans="12:21">
      <c r="L142" s="32">
        <f t="shared" si="18"/>
        <v>0</v>
      </c>
      <c r="M142" s="46" t="s">
        <v>208</v>
      </c>
      <c r="N142" s="33">
        <v>41.24297</v>
      </c>
      <c r="O142" s="33">
        <v>-75.870339999999999</v>
      </c>
      <c r="P142" s="34">
        <f t="shared" si="15"/>
        <v>-0.12272143009057963</v>
      </c>
      <c r="Q142" s="34">
        <f t="shared" si="16"/>
        <v>-0.23660538551368604</v>
      </c>
      <c r="R142" s="34">
        <f t="shared" si="17"/>
        <v>1.2422502592499565E-2</v>
      </c>
      <c r="S142" s="34">
        <f t="shared" si="19"/>
        <v>0.22337668334909372</v>
      </c>
      <c r="T142" s="35">
        <f t="shared" si="20"/>
        <v>767.94779423159775</v>
      </c>
      <c r="U142" s="59"/>
    </row>
    <row r="143" spans="12:21">
      <c r="L143" s="32">
        <f t="shared" si="18"/>
        <v>0</v>
      </c>
      <c r="M143" s="46" t="s">
        <v>209</v>
      </c>
      <c r="N143" s="33">
        <v>41.168219999999998</v>
      </c>
      <c r="O143" s="33">
        <v>-71.578010000000006</v>
      </c>
      <c r="P143" s="34">
        <f t="shared" si="15"/>
        <v>-0.12141679647471385</v>
      </c>
      <c r="Q143" s="34">
        <f t="shared" si="16"/>
        <v>-0.31152067659581412</v>
      </c>
      <c r="R143" s="34">
        <f t="shared" si="17"/>
        <v>1.8662480951299534E-2</v>
      </c>
      <c r="S143" s="34">
        <f t="shared" si="19"/>
        <v>0.27407843116928077</v>
      </c>
      <c r="T143" s="35">
        <f t="shared" si="20"/>
        <v>942.25558150118309</v>
      </c>
      <c r="U143" s="59"/>
    </row>
    <row r="144" spans="12:21">
      <c r="L144" s="32">
        <f t="shared" si="18"/>
        <v>0</v>
      </c>
      <c r="M144" s="46" t="s">
        <v>210</v>
      </c>
      <c r="N144" s="33">
        <v>41.810630000000003</v>
      </c>
      <c r="O144" s="33">
        <v>-71.422210000000007</v>
      </c>
      <c r="P144" s="34">
        <f t="shared" si="15"/>
        <v>-0.1326289661224507</v>
      </c>
      <c r="Q144" s="34">
        <f t="shared" si="16"/>
        <v>-0.31423989957042125</v>
      </c>
      <c r="R144" s="34">
        <f t="shared" si="17"/>
        <v>1.9482788651642168E-2</v>
      </c>
      <c r="S144" s="34">
        <f t="shared" si="19"/>
        <v>0.2800760354856654</v>
      </c>
      <c r="T144" s="35">
        <f t="shared" si="20"/>
        <v>962.8747747687429</v>
      </c>
      <c r="U144" s="59"/>
    </row>
    <row r="145" spans="12:21">
      <c r="L145" s="32">
        <f t="shared" si="18"/>
        <v>0</v>
      </c>
      <c r="M145" s="46" t="s">
        <v>211</v>
      </c>
      <c r="N145" s="33">
        <v>32.733519999999999</v>
      </c>
      <c r="O145" s="33">
        <v>-79.989909999999995</v>
      </c>
      <c r="P145" s="34">
        <f t="shared" si="15"/>
        <v>2.5796489943251857E-2</v>
      </c>
      <c r="Q145" s="34">
        <f t="shared" si="16"/>
        <v>-0.1647053252473033</v>
      </c>
      <c r="R145" s="34">
        <f t="shared" si="17"/>
        <v>4.8735056812589063E-3</v>
      </c>
      <c r="S145" s="34">
        <f t="shared" si="19"/>
        <v>0.1397346534414699</v>
      </c>
      <c r="T145" s="35">
        <f t="shared" si="20"/>
        <v>480.39444976623122</v>
      </c>
      <c r="U145" s="59"/>
    </row>
    <row r="146" spans="12:21">
      <c r="L146" s="32">
        <f t="shared" si="18"/>
        <v>0</v>
      </c>
      <c r="M146" s="46" t="s">
        <v>212</v>
      </c>
      <c r="N146" s="33">
        <v>34.018090000000001</v>
      </c>
      <c r="O146" s="33">
        <v>-81.030990000000003</v>
      </c>
      <c r="P146" s="34">
        <f t="shared" si="15"/>
        <v>3.3765139709082603E-3</v>
      </c>
      <c r="Q146" s="34">
        <f t="shared" si="16"/>
        <v>-0.14653505147064058</v>
      </c>
      <c r="R146" s="34">
        <f t="shared" si="17"/>
        <v>3.6758068331376949E-3</v>
      </c>
      <c r="S146" s="34">
        <f t="shared" si="19"/>
        <v>0.12133127437726358</v>
      </c>
      <c r="T146" s="35">
        <f t="shared" si="20"/>
        <v>417.1253827048389</v>
      </c>
      <c r="U146" s="59"/>
    </row>
    <row r="147" spans="12:21">
      <c r="L147" s="32">
        <f t="shared" si="18"/>
        <v>0</v>
      </c>
      <c r="M147" s="46" t="s">
        <v>213</v>
      </c>
      <c r="N147" s="33">
        <v>34.854559999999999</v>
      </c>
      <c r="O147" s="33">
        <v>-82.395790000000005</v>
      </c>
      <c r="P147" s="34">
        <f t="shared" si="15"/>
        <v>-1.1222641623248682E-2</v>
      </c>
      <c r="Q147" s="34">
        <f t="shared" si="16"/>
        <v>-0.12271479783942194</v>
      </c>
      <c r="R147" s="34">
        <f t="shared" si="17"/>
        <v>2.5830800458771759E-3</v>
      </c>
      <c r="S147" s="34">
        <f t="shared" si="19"/>
        <v>0.10169183282509763</v>
      </c>
      <c r="T147" s="35">
        <f t="shared" si="20"/>
        <v>349.60685035938394</v>
      </c>
      <c r="U147" s="59"/>
    </row>
    <row r="148" spans="12:21">
      <c r="L148" s="32">
        <f t="shared" si="18"/>
        <v>0</v>
      </c>
      <c r="M148" s="46" t="s">
        <v>214</v>
      </c>
      <c r="N148" s="33">
        <v>44.36056</v>
      </c>
      <c r="O148" s="33">
        <v>-98.231449999999995</v>
      </c>
      <c r="P148" s="34">
        <f t="shared" si="15"/>
        <v>-0.17713364031782966</v>
      </c>
      <c r="Q148" s="34">
        <f t="shared" si="16"/>
        <v>0.15366960838694313</v>
      </c>
      <c r="R148" s="34">
        <f t="shared" si="17"/>
        <v>1.1307188266639862E-2</v>
      </c>
      <c r="S148" s="34">
        <f t="shared" si="19"/>
        <v>0.21307336442610741</v>
      </c>
      <c r="T148" s="35">
        <f t="shared" si="20"/>
        <v>732.52596362000031</v>
      </c>
      <c r="U148" s="59"/>
    </row>
    <row r="149" spans="12:21">
      <c r="L149" s="32">
        <f t="shared" si="18"/>
        <v>0</v>
      </c>
      <c r="M149" s="46" t="s">
        <v>215</v>
      </c>
      <c r="N149" s="33">
        <v>44.069319999999998</v>
      </c>
      <c r="O149" s="33">
        <v>-103.24748</v>
      </c>
      <c r="P149" s="34">
        <f t="shared" si="15"/>
        <v>-0.17205054340432133</v>
      </c>
      <c r="Q149" s="34">
        <f t="shared" si="16"/>
        <v>0.24121584726575432</v>
      </c>
      <c r="R149" s="34">
        <f t="shared" si="17"/>
        <v>1.5983314339143937E-2</v>
      </c>
      <c r="S149" s="34">
        <f t="shared" si="19"/>
        <v>0.25352872209160404</v>
      </c>
      <c r="T149" s="35">
        <f t="shared" si="20"/>
        <v>871.60763596946379</v>
      </c>
      <c r="U149" s="59"/>
    </row>
    <row r="150" spans="12:21">
      <c r="L150" s="32">
        <f t="shared" si="18"/>
        <v>0</v>
      </c>
      <c r="M150" s="46" t="s">
        <v>216</v>
      </c>
      <c r="N150" s="33">
        <v>35.034849999999999</v>
      </c>
      <c r="O150" s="33">
        <f>-85.28986</f>
        <v>-85.289860000000004</v>
      </c>
      <c r="P150" s="34">
        <f t="shared" si="15"/>
        <v>-1.4369295731669248E-2</v>
      </c>
      <c r="Q150" s="34">
        <f t="shared" si="16"/>
        <v>-7.2203747556229658E-2</v>
      </c>
      <c r="R150" s="34">
        <f t="shared" si="17"/>
        <v>9.3376036760966076E-4</v>
      </c>
      <c r="S150" s="34">
        <f t="shared" si="19"/>
        <v>6.1124500769376582E-2</v>
      </c>
      <c r="T150" s="35">
        <f t="shared" si="20"/>
        <v>210.14022070509353</v>
      </c>
      <c r="U150" s="59"/>
    </row>
    <row r="151" spans="12:21">
      <c r="L151" s="32">
        <f t="shared" si="18"/>
        <v>0</v>
      </c>
      <c r="M151" s="46" t="s">
        <v>217</v>
      </c>
      <c r="N151" s="33">
        <v>35.974600000000002</v>
      </c>
      <c r="O151" s="33">
        <v>-83.926670000000001</v>
      </c>
      <c r="P151" s="34">
        <f t="shared" si="15"/>
        <v>-3.0771027377286025E-2</v>
      </c>
      <c r="Q151" s="34">
        <f t="shared" si="16"/>
        <v>-9.5995901386491209E-2</v>
      </c>
      <c r="R151" s="34">
        <f t="shared" si="17"/>
        <v>1.7773227822063503E-3</v>
      </c>
      <c r="S151" s="34">
        <f t="shared" si="19"/>
        <v>8.4341608716242952E-2</v>
      </c>
      <c r="T151" s="35">
        <f t="shared" si="20"/>
        <v>289.95842987945434</v>
      </c>
      <c r="U151" s="59"/>
    </row>
    <row r="152" spans="12:21">
      <c r="L152" s="32">
        <f t="shared" si="18"/>
        <v>1</v>
      </c>
      <c r="M152" s="46" t="s">
        <v>218</v>
      </c>
      <c r="N152" s="33">
        <v>35.145290000000003</v>
      </c>
      <c r="O152" s="33">
        <v>-89.98903</v>
      </c>
      <c r="P152" s="34">
        <f t="shared" si="15"/>
        <v>-1.6296837357571856E-2</v>
      </c>
      <c r="Q152" s="34">
        <f t="shared" si="16"/>
        <v>9.8122410547121942E-3</v>
      </c>
      <c r="R152" s="34">
        <f t="shared" si="17"/>
        <v>8.2671440483309829E-5</v>
      </c>
      <c r="S152" s="34">
        <f t="shared" si="19"/>
        <v>1.8185017874369842E-2</v>
      </c>
      <c r="T152" s="35">
        <f t="shared" si="20"/>
        <v>62.51836205688366</v>
      </c>
      <c r="U152" s="59"/>
    </row>
    <row r="153" spans="12:21">
      <c r="L153" s="32">
        <f t="shared" si="18"/>
        <v>0</v>
      </c>
      <c r="M153" s="46" t="s">
        <v>219</v>
      </c>
      <c r="N153" s="33">
        <v>36.175370000000001</v>
      </c>
      <c r="O153" s="33">
        <v>-86.732079999999996</v>
      </c>
      <c r="P153" s="34">
        <f t="shared" si="15"/>
        <v>-3.4275124916515014E-2</v>
      </c>
      <c r="Q153" s="34">
        <f t="shared" si="16"/>
        <v>-4.7032260018117181E-2</v>
      </c>
      <c r="R153" s="34">
        <f t="shared" si="17"/>
        <v>6.6275426288909091E-4</v>
      </c>
      <c r="S153" s="34">
        <f t="shared" si="19"/>
        <v>5.1493717250492656E-2</v>
      </c>
      <c r="T153" s="35">
        <f t="shared" si="20"/>
        <v>177.03050285468322</v>
      </c>
      <c r="U153" s="59"/>
    </row>
    <row r="154" spans="12:21">
      <c r="L154" s="32">
        <f t="shared" si="18"/>
        <v>0</v>
      </c>
      <c r="M154" s="46" t="s">
        <v>220</v>
      </c>
      <c r="N154" s="33">
        <v>32.43927</v>
      </c>
      <c r="O154" s="33">
        <v>-99.695189999999997</v>
      </c>
      <c r="P154" s="34">
        <f t="shared" si="15"/>
        <v>3.0932121267245139E-2</v>
      </c>
      <c r="Q154" s="34">
        <f t="shared" si="16"/>
        <v>0.17921669078008495</v>
      </c>
      <c r="R154" s="34">
        <f t="shared" si="17"/>
        <v>5.8283151255931016E-3</v>
      </c>
      <c r="S154" s="34">
        <f t="shared" si="19"/>
        <v>0.15283551342309115</v>
      </c>
      <c r="T154" s="35">
        <f t="shared" si="20"/>
        <v>525.43396049126079</v>
      </c>
      <c r="U154" s="59"/>
    </row>
    <row r="155" spans="12:21">
      <c r="L155" s="32">
        <f t="shared" si="18"/>
        <v>0</v>
      </c>
      <c r="M155" s="46" t="s">
        <v>221</v>
      </c>
      <c r="N155" s="33">
        <v>35.21837</v>
      </c>
      <c r="O155" s="33">
        <v>-101.8537</v>
      </c>
      <c r="P155" s="34">
        <f t="shared" si="15"/>
        <v>-1.7572323974929267E-2</v>
      </c>
      <c r="Q155" s="34">
        <f t="shared" si="16"/>
        <v>0.21688979721730789</v>
      </c>
      <c r="R155" s="34">
        <f t="shared" si="17"/>
        <v>7.9913438864913852E-3</v>
      </c>
      <c r="S155" s="34">
        <f t="shared" si="19"/>
        <v>0.17902762104991798</v>
      </c>
      <c r="T155" s="35">
        <f t="shared" si="20"/>
        <v>615.47993564285616</v>
      </c>
      <c r="U155" s="59"/>
    </row>
    <row r="156" spans="12:21">
      <c r="L156" s="32">
        <f t="shared" si="18"/>
        <v>0</v>
      </c>
      <c r="M156" s="46" t="s">
        <v>222</v>
      </c>
      <c r="N156" s="33">
        <v>30.261289999999999</v>
      </c>
      <c r="O156" s="33">
        <v>-97.753619999999998</v>
      </c>
      <c r="P156" s="34">
        <f t="shared" si="15"/>
        <v>6.8945043309831269E-2</v>
      </c>
      <c r="Q156" s="34">
        <f t="shared" si="16"/>
        <v>0.14532990162213869</v>
      </c>
      <c r="R156" s="34">
        <f t="shared" si="17"/>
        <v>4.952796613550847E-3</v>
      </c>
      <c r="S156" s="34">
        <f t="shared" si="19"/>
        <v>0.1408686624166168</v>
      </c>
      <c r="T156" s="35">
        <f t="shared" si="20"/>
        <v>484.29306477853277</v>
      </c>
      <c r="U156" s="59"/>
    </row>
    <row r="157" spans="12:21">
      <c r="L157" s="32">
        <f t="shared" si="18"/>
        <v>0</v>
      </c>
      <c r="M157" s="48" t="s">
        <v>223</v>
      </c>
      <c r="N157" s="33">
        <v>26.004960000000001</v>
      </c>
      <c r="O157" s="33">
        <v>-97.517949999999999</v>
      </c>
      <c r="P157" s="34">
        <f t="shared" si="15"/>
        <v>0.14323201586124149</v>
      </c>
      <c r="Q157" s="34">
        <f t="shared" si="16"/>
        <v>0.14121668417396366</v>
      </c>
      <c r="R157" s="34">
        <f t="shared" si="17"/>
        <v>8.8193968876462414E-3</v>
      </c>
      <c r="S157" s="34">
        <f t="shared" si="19"/>
        <v>0.18810047092682605</v>
      </c>
      <c r="T157" s="35">
        <f t="shared" si="20"/>
        <v>646.67153069164283</v>
      </c>
      <c r="U157" s="59"/>
    </row>
    <row r="158" spans="12:21">
      <c r="L158" s="32">
        <f t="shared" si="18"/>
        <v>0</v>
      </c>
      <c r="M158" s="46" t="s">
        <v>224</v>
      </c>
      <c r="N158" s="33">
        <v>27.73433</v>
      </c>
      <c r="O158" s="33">
        <v>-97.418300000000002</v>
      </c>
      <c r="P158" s="34">
        <f t="shared" si="15"/>
        <v>0.11304881537602716</v>
      </c>
      <c r="Q158" s="34">
        <f t="shared" si="16"/>
        <v>0.13947746357435137</v>
      </c>
      <c r="R158" s="34">
        <f t="shared" si="17"/>
        <v>6.7457258839085411E-3</v>
      </c>
      <c r="S158" s="34">
        <f t="shared" si="19"/>
        <v>0.16444997981722415</v>
      </c>
      <c r="T158" s="35">
        <f t="shared" si="20"/>
        <v>565.36339141853603</v>
      </c>
      <c r="U158" s="59"/>
    </row>
    <row r="159" spans="12:21">
      <c r="L159" s="32">
        <f t="shared" si="18"/>
        <v>0</v>
      </c>
      <c r="M159" s="46" t="s">
        <v>225</v>
      </c>
      <c r="N159" s="33">
        <v>32.77317</v>
      </c>
      <c r="O159" s="33">
        <v>-96.818460000000002</v>
      </c>
      <c r="P159" s="34">
        <f t="shared" si="15"/>
        <v>2.5104466894836076E-2</v>
      </c>
      <c r="Q159" s="34">
        <f t="shared" si="16"/>
        <v>0.12900828058918856</v>
      </c>
      <c r="R159" s="34">
        <f t="shared" si="17"/>
        <v>3.0466611038363952E-3</v>
      </c>
      <c r="S159" s="34">
        <f t="shared" si="19"/>
        <v>0.11044926779548961</v>
      </c>
      <c r="T159" s="35">
        <f t="shared" si="20"/>
        <v>379.71407895552591</v>
      </c>
      <c r="U159" s="59"/>
    </row>
    <row r="160" spans="12:21">
      <c r="L160" s="32">
        <f t="shared" si="18"/>
        <v>0</v>
      </c>
      <c r="M160" s="46" t="s">
        <v>226</v>
      </c>
      <c r="N160" s="33">
        <v>29.37237</v>
      </c>
      <c r="O160" s="33">
        <v>-100.88439</v>
      </c>
      <c r="P160" s="34">
        <f t="shared" si="15"/>
        <v>8.4459624096659233E-2</v>
      </c>
      <c r="Q160" s="34">
        <f t="shared" si="16"/>
        <v>0.19997214624480153</v>
      </c>
      <c r="R160" s="34">
        <f t="shared" si="17"/>
        <v>8.9629230514421711E-3</v>
      </c>
      <c r="S160" s="34">
        <f t="shared" si="19"/>
        <v>0.18962942593522861</v>
      </c>
      <c r="T160" s="35">
        <f t="shared" si="20"/>
        <v>651.92793260690951</v>
      </c>
      <c r="U160" s="59"/>
    </row>
    <row r="161" spans="12:21">
      <c r="L161" s="32">
        <f t="shared" si="18"/>
        <v>0</v>
      </c>
      <c r="M161" s="46" t="s">
        <v>227</v>
      </c>
      <c r="N161" s="33">
        <v>31.838830000000002</v>
      </c>
      <c r="O161" s="33">
        <v>-106.48774</v>
      </c>
      <c r="P161" s="34">
        <f t="shared" si="15"/>
        <v>4.1411776227919875E-2</v>
      </c>
      <c r="Q161" s="34">
        <f t="shared" si="16"/>
        <v>0.29776905288642591</v>
      </c>
      <c r="R161" s="34">
        <f t="shared" si="17"/>
        <v>1.5886825013187448E-2</v>
      </c>
      <c r="S161" s="34">
        <f t="shared" si="19"/>
        <v>0.252758189693222</v>
      </c>
      <c r="T161" s="35">
        <f t="shared" si="20"/>
        <v>868.95861886145747</v>
      </c>
      <c r="U161" s="59"/>
    </row>
    <row r="162" spans="12:21">
      <c r="L162" s="32">
        <f t="shared" si="18"/>
        <v>0</v>
      </c>
      <c r="M162" s="46" t="s">
        <v>228</v>
      </c>
      <c r="N162" s="33">
        <v>32.76052</v>
      </c>
      <c r="O162" s="33">
        <v>-97.275630000000007</v>
      </c>
      <c r="P162" s="34">
        <f t="shared" si="15"/>
        <v>2.5325251045213371E-2</v>
      </c>
      <c r="Q162" s="34">
        <f t="shared" si="16"/>
        <v>0.13698740233053114</v>
      </c>
      <c r="R162" s="34">
        <f t="shared" si="17"/>
        <v>3.4177640754086431E-3</v>
      </c>
      <c r="S162" s="34">
        <f t="shared" si="19"/>
        <v>0.1169899977309439</v>
      </c>
      <c r="T162" s="35">
        <f t="shared" si="20"/>
        <v>402.20048645020091</v>
      </c>
      <c r="U162" s="59"/>
    </row>
    <row r="163" spans="12:21">
      <c r="L163" s="32">
        <f t="shared" si="18"/>
        <v>0</v>
      </c>
      <c r="M163" s="46" t="s">
        <v>229</v>
      </c>
      <c r="N163" s="33">
        <v>29.19379</v>
      </c>
      <c r="O163" s="33">
        <v>-94.966049999999996</v>
      </c>
      <c r="P163" s="34">
        <f t="shared" si="15"/>
        <v>8.7576433074870716E-2</v>
      </c>
      <c r="Q163" s="34">
        <f t="shared" si="16"/>
        <v>9.6677626992320312E-2</v>
      </c>
      <c r="R163" s="34">
        <f t="shared" si="17"/>
        <v>3.6017410204403563E-3</v>
      </c>
      <c r="S163" s="34">
        <f t="shared" si="19"/>
        <v>0.12010118276889228</v>
      </c>
      <c r="T163" s="35">
        <f t="shared" si="20"/>
        <v>412.89644473697035</v>
      </c>
      <c r="U163" s="59"/>
    </row>
    <row r="164" spans="12:21">
      <c r="L164" s="32">
        <f t="shared" si="18"/>
        <v>0</v>
      </c>
      <c r="M164" s="46" t="s">
        <v>230</v>
      </c>
      <c r="N164" s="33">
        <v>29.76849</v>
      </c>
      <c r="O164" s="33">
        <v>-95.441959999999995</v>
      </c>
      <c r="P164" s="34">
        <f t="shared" si="15"/>
        <v>7.7546025863659301E-2</v>
      </c>
      <c r="Q164" s="34">
        <f t="shared" si="16"/>
        <v>0.1049838234354865</v>
      </c>
      <c r="R164" s="34">
        <f t="shared" si="17"/>
        <v>3.4787129220360934E-3</v>
      </c>
      <c r="S164" s="34">
        <f t="shared" si="19"/>
        <v>0.11802972909121287</v>
      </c>
      <c r="T164" s="35">
        <f t="shared" si="20"/>
        <v>405.77498398835326</v>
      </c>
      <c r="U164" s="59"/>
    </row>
    <row r="165" spans="12:21">
      <c r="L165" s="32">
        <f t="shared" si="18"/>
        <v>0</v>
      </c>
      <c r="M165" s="46" t="s">
        <v>231</v>
      </c>
      <c r="N165" s="33">
        <v>33.598999999999997</v>
      </c>
      <c r="O165" s="33">
        <v>-101.89189</v>
      </c>
      <c r="P165" s="34">
        <f t="shared" si="15"/>
        <v>1.0691014333091369E-2</v>
      </c>
      <c r="Q165" s="34">
        <f t="shared" si="16"/>
        <v>0.21755633845864453</v>
      </c>
      <c r="R165" s="34">
        <f t="shared" si="17"/>
        <v>8.1469123988749097E-3</v>
      </c>
      <c r="S165" s="34">
        <f t="shared" si="19"/>
        <v>0.18076651343983055</v>
      </c>
      <c r="T165" s="35">
        <f t="shared" si="20"/>
        <v>621.4580823107093</v>
      </c>
      <c r="U165" s="59"/>
    </row>
    <row r="166" spans="12:21">
      <c r="L166" s="32">
        <f t="shared" si="18"/>
        <v>0</v>
      </c>
      <c r="M166" s="46" t="s">
        <v>232</v>
      </c>
      <c r="N166" s="33">
        <v>31.76322</v>
      </c>
      <c r="O166" s="33">
        <v>-95.649600000000007</v>
      </c>
      <c r="P166" s="34">
        <f t="shared" si="15"/>
        <v>4.2731419675352808E-2</v>
      </c>
      <c r="Q166" s="34">
        <f t="shared" si="16"/>
        <v>0.10860782509432773</v>
      </c>
      <c r="R166" s="34">
        <f t="shared" si="17"/>
        <v>2.5278072485887199E-3</v>
      </c>
      <c r="S166" s="34">
        <f t="shared" si="19"/>
        <v>0.10059701906641429</v>
      </c>
      <c r="T166" s="35">
        <f t="shared" si="20"/>
        <v>345.84298477381913</v>
      </c>
      <c r="U166" s="59"/>
    </row>
    <row r="167" spans="12:21">
      <c r="L167" s="32">
        <f t="shared" si="18"/>
        <v>0</v>
      </c>
      <c r="M167" s="46" t="s">
        <v>233</v>
      </c>
      <c r="N167" s="33">
        <v>29.932600000000001</v>
      </c>
      <c r="O167" s="33">
        <v>-93.964420000000004</v>
      </c>
      <c r="P167" s="34">
        <f t="shared" si="15"/>
        <v>7.4681766028211402E-2</v>
      </c>
      <c r="Q167" s="34">
        <f t="shared" si="16"/>
        <v>7.9195885605569644E-2</v>
      </c>
      <c r="R167" s="34">
        <f t="shared" si="17"/>
        <v>2.5168280440863297E-3</v>
      </c>
      <c r="S167" s="34">
        <f t="shared" si="19"/>
        <v>0.10037813222804604</v>
      </c>
      <c r="T167" s="35">
        <f t="shared" si="20"/>
        <v>345.09047263964737</v>
      </c>
      <c r="U167" s="59"/>
    </row>
    <row r="168" spans="12:21">
      <c r="L168" s="32">
        <f t="shared" si="18"/>
        <v>0</v>
      </c>
      <c r="M168" s="46" t="s">
        <v>234</v>
      </c>
      <c r="N168" s="33">
        <v>29.385380000000001</v>
      </c>
      <c r="O168" s="33">
        <v>-98.421660000000003</v>
      </c>
      <c r="P168" s="34">
        <f t="shared" si="15"/>
        <v>8.4232556760974756E-2</v>
      </c>
      <c r="Q168" s="34">
        <f t="shared" si="16"/>
        <v>0.15698939915716167</v>
      </c>
      <c r="R168" s="34">
        <f t="shared" si="17"/>
        <v>6.2033473448161042E-3</v>
      </c>
      <c r="S168" s="34">
        <f t="shared" si="19"/>
        <v>0.15768598067866449</v>
      </c>
      <c r="T168" s="35">
        <f t="shared" si="20"/>
        <v>542.10940563648592</v>
      </c>
      <c r="U168" s="59"/>
    </row>
    <row r="169" spans="12:21">
      <c r="L169" s="32">
        <f t="shared" si="18"/>
        <v>0</v>
      </c>
      <c r="M169" s="46" t="s">
        <v>235</v>
      </c>
      <c r="N169" s="33">
        <v>38.394820000000003</v>
      </c>
      <c r="O169" s="33">
        <v>-113.01502000000001</v>
      </c>
      <c r="P169" s="34">
        <f t="shared" si="15"/>
        <v>-7.30118349999032E-2</v>
      </c>
      <c r="Q169" s="34">
        <f t="shared" si="16"/>
        <v>0.41169158008600143</v>
      </c>
      <c r="R169" s="34">
        <f t="shared" si="17"/>
        <v>2.840948594529764E-2</v>
      </c>
      <c r="S169" s="34">
        <f t="shared" si="19"/>
        <v>0.33871918284448166</v>
      </c>
      <c r="T169" s="35">
        <f t="shared" si="20"/>
        <v>1164.4843384250394</v>
      </c>
      <c r="U169" s="59"/>
    </row>
    <row r="170" spans="12:21">
      <c r="L170" s="32">
        <f t="shared" si="18"/>
        <v>0</v>
      </c>
      <c r="M170" s="46" t="s">
        <v>236</v>
      </c>
      <c r="N170" s="33">
        <v>40.786920000000002</v>
      </c>
      <c r="O170" s="33">
        <v>-111.96993000000001</v>
      </c>
      <c r="P170" s="34">
        <f t="shared" si="15"/>
        <v>-0.11476185603685954</v>
      </c>
      <c r="Q170" s="34">
        <f t="shared" si="16"/>
        <v>0.39345131860633387</v>
      </c>
      <c r="R170" s="34">
        <f t="shared" si="17"/>
        <v>2.720994858114216E-2</v>
      </c>
      <c r="S170" s="34">
        <f t="shared" si="19"/>
        <v>0.3314235217836895</v>
      </c>
      <c r="T170" s="35">
        <f t="shared" si="20"/>
        <v>1139.4025495154028</v>
      </c>
      <c r="U170" s="59"/>
    </row>
    <row r="171" spans="12:21">
      <c r="L171" s="32">
        <f t="shared" si="18"/>
        <v>0</v>
      </c>
      <c r="M171" s="46" t="s">
        <v>237</v>
      </c>
      <c r="N171" s="33">
        <v>36.911450000000002</v>
      </c>
      <c r="O171" s="33">
        <v>-76.024479999999997</v>
      </c>
      <c r="P171" s="34">
        <f t="shared" si="15"/>
        <v>-4.7122144474594896E-2</v>
      </c>
      <c r="Q171" s="34">
        <f t="shared" si="16"/>
        <v>-0.23391513500466199</v>
      </c>
      <c r="R171" s="34">
        <f t="shared" si="17"/>
        <v>9.5586464461524662E-3</v>
      </c>
      <c r="S171" s="34">
        <f t="shared" si="19"/>
        <v>0.19584951954576146</v>
      </c>
      <c r="T171" s="35">
        <f t="shared" si="20"/>
        <v>673.31202290901911</v>
      </c>
      <c r="U171" s="59"/>
    </row>
    <row r="172" spans="12:21">
      <c r="L172" s="32">
        <f t="shared" si="18"/>
        <v>0</v>
      </c>
      <c r="M172" s="46" t="s">
        <v>238</v>
      </c>
      <c r="N172" s="33">
        <v>37.415019999999998</v>
      </c>
      <c r="O172" s="33">
        <v>-79.156859999999995</v>
      </c>
      <c r="P172" s="34">
        <f t="shared" si="15"/>
        <v>-5.5911098988862679E-2</v>
      </c>
      <c r="Q172" s="34">
        <f t="shared" si="16"/>
        <v>-0.17924479058104206</v>
      </c>
      <c r="R172" s="34">
        <f t="shared" si="17"/>
        <v>6.0429170302784543E-3</v>
      </c>
      <c r="S172" s="34">
        <f t="shared" si="19"/>
        <v>0.15562941489740773</v>
      </c>
      <c r="T172" s="35">
        <f t="shared" si="20"/>
        <v>535.03912805993104</v>
      </c>
      <c r="U172" s="59"/>
    </row>
    <row r="173" spans="12:21">
      <c r="L173" s="32">
        <f t="shared" si="18"/>
        <v>0</v>
      </c>
      <c r="M173" s="46" t="s">
        <v>239</v>
      </c>
      <c r="N173" s="33">
        <v>36.925730000000001</v>
      </c>
      <c r="O173" s="33">
        <v>-76.265510000000006</v>
      </c>
      <c r="P173" s="34">
        <f t="shared" si="15"/>
        <v>-4.7371377491779672E-2</v>
      </c>
      <c r="Q173" s="34">
        <f t="shared" si="16"/>
        <v>-0.2297083679085799</v>
      </c>
      <c r="R173" s="34">
        <f t="shared" si="17"/>
        <v>9.243385345178802E-3</v>
      </c>
      <c r="S173" s="34">
        <f t="shared" si="19"/>
        <v>0.1925825188710647</v>
      </c>
      <c r="T173" s="35">
        <f t="shared" si="20"/>
        <v>662.08038528117584</v>
      </c>
      <c r="U173" s="59"/>
    </row>
    <row r="174" spans="12:21">
      <c r="L174" s="32">
        <f t="shared" si="18"/>
        <v>0</v>
      </c>
      <c r="M174" s="46" t="s">
        <v>240</v>
      </c>
      <c r="N174" s="33">
        <v>37.544409999999999</v>
      </c>
      <c r="O174" s="33">
        <v>-77.462739999999997</v>
      </c>
      <c r="P174" s="34">
        <f t="shared" si="15"/>
        <v>-5.8169380508018155E-2</v>
      </c>
      <c r="Q174" s="34">
        <f t="shared" si="16"/>
        <v>-0.20881276250492836</v>
      </c>
      <c r="R174" s="34">
        <f t="shared" si="17"/>
        <v>7.9671881842517025E-3</v>
      </c>
      <c r="S174" s="34">
        <f t="shared" si="19"/>
        <v>0.17875611597979277</v>
      </c>
      <c r="T174" s="35">
        <f t="shared" si="20"/>
        <v>614.54652703189788</v>
      </c>
      <c r="U174" s="59"/>
    </row>
    <row r="175" spans="12:21">
      <c r="L175" s="32">
        <f t="shared" si="18"/>
        <v>0</v>
      </c>
      <c r="M175" s="46" t="s">
        <v>241</v>
      </c>
      <c r="N175" s="33">
        <v>44.479039999999998</v>
      </c>
      <c r="O175" s="33">
        <v>-73.1858</v>
      </c>
      <c r="P175" s="34">
        <f t="shared" si="15"/>
        <v>-0.17920150641559252</v>
      </c>
      <c r="Q175" s="34">
        <f t="shared" si="16"/>
        <v>-0.28345944741517459</v>
      </c>
      <c r="R175" s="34">
        <f t="shared" si="17"/>
        <v>1.9780139323154172E-2</v>
      </c>
      <c r="S175" s="34">
        <f t="shared" si="19"/>
        <v>0.28221942435400782</v>
      </c>
      <c r="T175" s="35">
        <f t="shared" si="20"/>
        <v>970.24354186182279</v>
      </c>
      <c r="U175" s="59"/>
    </row>
    <row r="176" spans="12:21">
      <c r="L176" s="32">
        <f t="shared" si="18"/>
        <v>0</v>
      </c>
      <c r="M176" s="46" t="s">
        <v>242</v>
      </c>
      <c r="N176" s="33">
        <v>46.298859999999998</v>
      </c>
      <c r="O176" s="33">
        <v>-124.07796999999999</v>
      </c>
      <c r="P176" s="34">
        <f t="shared" si="15"/>
        <v>-0.2109633572092357</v>
      </c>
      <c r="Q176" s="34">
        <f t="shared" si="16"/>
        <v>0.60477648256950789</v>
      </c>
      <c r="R176" s="34">
        <f t="shared" si="17"/>
        <v>6.1755495323070675E-2</v>
      </c>
      <c r="S176" s="34">
        <f t="shared" si="19"/>
        <v>0.50227622420599438</v>
      </c>
      <c r="T176" s="35">
        <f t="shared" si="20"/>
        <v>1726.7778923512867</v>
      </c>
      <c r="U176" s="59"/>
    </row>
    <row r="177" spans="12:21">
      <c r="L177" s="32">
        <f t="shared" si="18"/>
        <v>0</v>
      </c>
      <c r="M177" s="46" t="s">
        <v>243</v>
      </c>
      <c r="N177" s="33">
        <v>47.938980000000001</v>
      </c>
      <c r="O177" s="33">
        <v>-124.55674999999999</v>
      </c>
      <c r="P177" s="34">
        <f t="shared" si="15"/>
        <v>-0.23958885133704516</v>
      </c>
      <c r="Q177" s="34">
        <f t="shared" si="16"/>
        <v>0.61313276996220634</v>
      </c>
      <c r="R177" s="34">
        <f t="shared" si="17"/>
        <v>6.4738221053508169E-2</v>
      </c>
      <c r="S177" s="34">
        <f t="shared" si="19"/>
        <v>0.51453113721179133</v>
      </c>
      <c r="T177" s="35">
        <f t="shared" si="20"/>
        <v>1768.9091178229899</v>
      </c>
      <c r="U177" s="59"/>
    </row>
    <row r="178" spans="12:21">
      <c r="L178" s="32">
        <f t="shared" si="18"/>
        <v>0</v>
      </c>
      <c r="M178" s="48" t="s">
        <v>244</v>
      </c>
      <c r="N178" s="33">
        <v>47.617330000000003</v>
      </c>
      <c r="O178" s="33">
        <v>-122.31912</v>
      </c>
      <c r="P178" s="34">
        <f t="shared" si="15"/>
        <v>-0.23397499979800543</v>
      </c>
      <c r="Q178" s="34">
        <f t="shared" si="16"/>
        <v>0.57407875902080574</v>
      </c>
      <c r="R178" s="34">
        <f t="shared" si="17"/>
        <v>5.8304634640427178E-2</v>
      </c>
      <c r="S178" s="34">
        <f t="shared" si="19"/>
        <v>0.48774744332004727</v>
      </c>
      <c r="T178" s="35">
        <f t="shared" si="20"/>
        <v>1676.8293253524628</v>
      </c>
      <c r="U178" s="59"/>
    </row>
    <row r="179" spans="12:21">
      <c r="L179" s="32">
        <f t="shared" si="18"/>
        <v>0</v>
      </c>
      <c r="M179" s="46" t="s">
        <v>245</v>
      </c>
      <c r="N179" s="33">
        <v>47.661920000000002</v>
      </c>
      <c r="O179" s="33">
        <v>-117.42100000000001</v>
      </c>
      <c r="P179" s="34">
        <f t="shared" si="15"/>
        <v>-0.2347532421114697</v>
      </c>
      <c r="Q179" s="34">
        <f t="shared" si="16"/>
        <v>0.4885904378630212</v>
      </c>
      <c r="R179" s="34">
        <f t="shared" si="17"/>
        <v>4.6297902328541057E-2</v>
      </c>
      <c r="S179" s="34">
        <f t="shared" si="19"/>
        <v>0.4337307297339999</v>
      </c>
      <c r="T179" s="35">
        <f t="shared" si="20"/>
        <v>1491.1250010330939</v>
      </c>
      <c r="U179" s="59"/>
    </row>
    <row r="180" spans="12:21">
      <c r="L180" s="32">
        <f t="shared" si="18"/>
        <v>0</v>
      </c>
      <c r="M180" s="46" t="s">
        <v>246</v>
      </c>
      <c r="N180" s="33">
        <v>47.239089999999997</v>
      </c>
      <c r="O180" s="33">
        <v>-122.47263</v>
      </c>
      <c r="P180" s="34">
        <f t="shared" si="15"/>
        <v>-0.22737346643526199</v>
      </c>
      <c r="Q180" s="34">
        <f t="shared" si="16"/>
        <v>0.57675801395554216</v>
      </c>
      <c r="R180" s="34">
        <f t="shared" si="17"/>
        <v>5.8281522926360706E-2</v>
      </c>
      <c r="S180" s="34">
        <f t="shared" si="19"/>
        <v>0.48764880043175918</v>
      </c>
      <c r="T180" s="35">
        <f t="shared" si="20"/>
        <v>1676.4902004834669</v>
      </c>
      <c r="U180" s="59"/>
    </row>
    <row r="181" spans="12:21">
      <c r="L181" s="32">
        <f t="shared" si="18"/>
        <v>0</v>
      </c>
      <c r="M181" s="46" t="s">
        <v>247</v>
      </c>
      <c r="N181" s="33">
        <v>48.391680000000001</v>
      </c>
      <c r="O181" s="33">
        <v>-124.73594</v>
      </c>
      <c r="P181" s="34">
        <f t="shared" si="15"/>
        <v>-0.24748995686082351</v>
      </c>
      <c r="Q181" s="34">
        <f t="shared" si="16"/>
        <v>0.61626022544885506</v>
      </c>
      <c r="R181" s="34">
        <f t="shared" si="17"/>
        <v>6.5742692892270388E-2</v>
      </c>
      <c r="S181" s="34">
        <f t="shared" si="19"/>
        <v>0.51859868250558683</v>
      </c>
      <c r="T181" s="35">
        <f t="shared" si="20"/>
        <v>1782.8929517195013</v>
      </c>
      <c r="U181" s="59"/>
    </row>
    <row r="182" spans="12:21">
      <c r="L182" s="32">
        <f t="shared" si="18"/>
        <v>0</v>
      </c>
      <c r="M182" s="46" t="s">
        <v>248</v>
      </c>
      <c r="N182" s="33">
        <v>46.066339999999997</v>
      </c>
      <c r="O182" s="33">
        <v>-118.31656</v>
      </c>
      <c r="P182" s="34">
        <f t="shared" si="15"/>
        <v>-0.20690511763249847</v>
      </c>
      <c r="Q182" s="34">
        <f t="shared" si="16"/>
        <v>0.50422090851218138</v>
      </c>
      <c r="R182" s="34">
        <f t="shared" si="17"/>
        <v>4.6366852349910601E-2</v>
      </c>
      <c r="S182" s="34">
        <f t="shared" si="19"/>
        <v>0.43405874467239208</v>
      </c>
      <c r="T182" s="35">
        <f t="shared" si="20"/>
        <v>1492.2526851970656</v>
      </c>
      <c r="U182" s="59"/>
    </row>
    <row r="183" spans="12:21">
      <c r="L183" s="32">
        <f t="shared" si="18"/>
        <v>0</v>
      </c>
      <c r="M183" s="46" t="s">
        <v>249</v>
      </c>
      <c r="N183" s="33">
        <v>44.524940000000001</v>
      </c>
      <c r="O183" s="33">
        <v>-87.960980000000006</v>
      </c>
      <c r="P183" s="34">
        <f t="shared" si="15"/>
        <v>-0.18000261254225797</v>
      </c>
      <c r="Q183" s="34">
        <f t="shared" si="16"/>
        <v>-2.5583908840358688E-2</v>
      </c>
      <c r="R183" s="34">
        <f t="shared" si="17"/>
        <v>8.1748579912103488E-3</v>
      </c>
      <c r="S183" s="34">
        <f t="shared" si="19"/>
        <v>0.18107712972952433</v>
      </c>
      <c r="T183" s="35">
        <f t="shared" si="20"/>
        <v>622.52595157506732</v>
      </c>
      <c r="U183" s="59"/>
    </row>
    <row r="184" spans="12:21">
      <c r="L184" s="32">
        <f t="shared" si="18"/>
        <v>0</v>
      </c>
      <c r="M184" s="46" t="s">
        <v>250</v>
      </c>
      <c r="N184" s="33">
        <v>43.820489999999999</v>
      </c>
      <c r="O184" s="33">
        <v>-91.227220000000003</v>
      </c>
      <c r="P184" s="34">
        <f t="shared" si="15"/>
        <v>-0.16770764062658389</v>
      </c>
      <c r="Q184" s="34">
        <f t="shared" si="16"/>
        <v>3.1422733319980835E-2</v>
      </c>
      <c r="R184" s="34">
        <f t="shared" si="17"/>
        <v>7.1622715821605372E-3</v>
      </c>
      <c r="S184" s="34">
        <f t="shared" si="19"/>
        <v>0.16946311197492714</v>
      </c>
      <c r="T184" s="35">
        <f t="shared" si="20"/>
        <v>582.59806302785069</v>
      </c>
      <c r="U184" s="59"/>
    </row>
    <row r="185" spans="12:21">
      <c r="L185" s="32">
        <f t="shared" si="18"/>
        <v>0</v>
      </c>
      <c r="M185" s="46" t="s">
        <v>251</v>
      </c>
      <c r="N185" s="33">
        <v>43.045279999999998</v>
      </c>
      <c r="O185" s="33">
        <v>-89.429090000000002</v>
      </c>
      <c r="P185" s="34">
        <f t="shared" si="15"/>
        <v>-0.15417767373219862</v>
      </c>
      <c r="Q185" s="34">
        <f t="shared" si="16"/>
        <v>3.9444441095190738E-5</v>
      </c>
      <c r="R185" s="34">
        <f t="shared" si="17"/>
        <v>5.9309264780740018E-3</v>
      </c>
      <c r="S185" s="34">
        <f t="shared" si="19"/>
        <v>0.15417767679372169</v>
      </c>
      <c r="T185" s="35">
        <f t="shared" si="20"/>
        <v>530.0481905197521</v>
      </c>
      <c r="U185" s="59"/>
    </row>
    <row r="186" spans="12:21">
      <c r="L186" s="32">
        <f t="shared" si="18"/>
        <v>0</v>
      </c>
      <c r="M186" s="46" t="s">
        <v>252</v>
      </c>
      <c r="N186" s="33">
        <v>43.050719999999998</v>
      </c>
      <c r="O186" s="33">
        <v>-87.966409999999996</v>
      </c>
      <c r="P186" s="34">
        <f t="shared" si="15"/>
        <v>-0.15427261964350711</v>
      </c>
      <c r="Q186" s="34">
        <f t="shared" si="16"/>
        <v>-2.5489137461975574E-2</v>
      </c>
      <c r="R186" s="34">
        <f t="shared" si="17"/>
        <v>6.0363672897480285E-3</v>
      </c>
      <c r="S186" s="34">
        <f t="shared" si="19"/>
        <v>0.15554488039986558</v>
      </c>
      <c r="T186" s="35">
        <f t="shared" si="20"/>
        <v>534.74850649661187</v>
      </c>
      <c r="U186" s="59"/>
    </row>
    <row r="187" spans="12:21">
      <c r="L187" s="32">
        <f t="shared" si="18"/>
        <v>0</v>
      </c>
      <c r="M187" s="46" t="s">
        <v>253</v>
      </c>
      <c r="N187" s="33">
        <v>38.92747</v>
      </c>
      <c r="O187" s="33">
        <v>-79.845950000000002</v>
      </c>
      <c r="P187" s="34">
        <f t="shared" si="15"/>
        <v>-8.230833126065093E-2</v>
      </c>
      <c r="Q187" s="34">
        <f t="shared" si="16"/>
        <v>-0.16721790123847421</v>
      </c>
      <c r="R187" s="34">
        <f t="shared" si="17"/>
        <v>6.179428280620335E-3</v>
      </c>
      <c r="S187" s="34">
        <f t="shared" si="19"/>
        <v>0.15738105148582254</v>
      </c>
      <c r="T187" s="35">
        <f t="shared" si="20"/>
        <v>541.06108807026158</v>
      </c>
      <c r="U187" s="59"/>
    </row>
    <row r="188" spans="12:21">
      <c r="L188" s="32">
        <f t="shared" si="18"/>
        <v>0</v>
      </c>
      <c r="M188" s="46" t="s">
        <v>254</v>
      </c>
      <c r="N188" s="33">
        <v>39.259779999999999</v>
      </c>
      <c r="O188" s="33">
        <v>-81.573930000000004</v>
      </c>
      <c r="P188" s="34">
        <f t="shared" si="15"/>
        <v>-8.8108234897953289E-2</v>
      </c>
      <c r="Q188" s="34">
        <f t="shared" si="16"/>
        <v>-0.13705896082986255</v>
      </c>
      <c r="R188" s="34">
        <f t="shared" si="17"/>
        <v>4.9418776699151536E-3</v>
      </c>
      <c r="S188" s="34">
        <f t="shared" si="19"/>
        <v>0.14071304009015356</v>
      </c>
      <c r="T188" s="35">
        <f t="shared" si="20"/>
        <v>483.75805001983537</v>
      </c>
      <c r="U188" s="59"/>
    </row>
    <row r="189" spans="12:21">
      <c r="L189" s="32">
        <f t="shared" si="18"/>
        <v>0</v>
      </c>
      <c r="M189" s="46" t="s">
        <v>255</v>
      </c>
      <c r="N189" s="33">
        <v>41.156660000000002</v>
      </c>
      <c r="O189" s="33">
        <v>-104.82765999999999</v>
      </c>
      <c r="P189" s="34">
        <f t="shared" si="15"/>
        <v>-0.12121503641318337</v>
      </c>
      <c r="Q189" s="34">
        <f t="shared" si="16"/>
        <v>0.26879519103991828</v>
      </c>
      <c r="R189" s="34">
        <f t="shared" si="17"/>
        <v>1.4847690713463729E-2</v>
      </c>
      <c r="S189" s="34">
        <f t="shared" si="19"/>
        <v>0.24430933567701724</v>
      </c>
      <c r="T189" s="35">
        <f t="shared" si="20"/>
        <v>839.91226223976241</v>
      </c>
      <c r="U189" s="59"/>
    </row>
    <row r="190" spans="12:21">
      <c r="L190" s="32">
        <f t="shared" si="18"/>
        <v>0</v>
      </c>
      <c r="M190" s="48" t="s">
        <v>256</v>
      </c>
      <c r="N190" s="33">
        <v>42.826560000000001</v>
      </c>
      <c r="O190" s="33">
        <v>-108.71319</v>
      </c>
      <c r="P190" s="34">
        <f t="shared" si="15"/>
        <v>-0.15036028959223666</v>
      </c>
      <c r="Q190" s="34">
        <f t="shared" si="16"/>
        <v>0.3366104827249336</v>
      </c>
      <c r="R190" s="34">
        <f t="shared" si="17"/>
        <v>2.2660204202855888E-2</v>
      </c>
      <c r="S190" s="34">
        <f t="shared" si="19"/>
        <v>0.30221492360417151</v>
      </c>
      <c r="T190" s="35">
        <f t="shared" si="20"/>
        <v>1038.9861667119069</v>
      </c>
      <c r="U190" s="59"/>
    </row>
    <row r="191" spans="12:21">
      <c r="L191" s="32">
        <f t="shared" si="18"/>
        <v>0</v>
      </c>
      <c r="M191" s="46" t="s">
        <v>257</v>
      </c>
      <c r="N191" s="33">
        <v>44.789589999999997</v>
      </c>
      <c r="O191" s="33">
        <v>-106.96544</v>
      </c>
      <c r="P191" s="34">
        <f t="shared" si="15"/>
        <v>-0.18462162640766089</v>
      </c>
      <c r="Q191" s="34">
        <f t="shared" si="16"/>
        <v>0.30610649072320278</v>
      </c>
      <c r="R191" s="34">
        <f t="shared" si="17"/>
        <v>2.2138342551794678E-2</v>
      </c>
      <c r="S191" s="34">
        <f t="shared" si="19"/>
        <v>0.29868825282459532</v>
      </c>
      <c r="T191" s="35">
        <f t="shared" si="20"/>
        <v>1026.8618079581152</v>
      </c>
      <c r="U191" s="59"/>
    </row>
    <row r="192" spans="12:21">
      <c r="M192" s="50"/>
      <c r="N192" s="43"/>
      <c r="O192" s="43"/>
      <c r="P192" s="44"/>
      <c r="Q192" s="44"/>
      <c r="R192" s="44"/>
      <c r="S192" s="44"/>
      <c r="T192" s="36"/>
      <c r="U192" s="36"/>
    </row>
    <row r="193" spans="13:21">
      <c r="M193" s="50"/>
      <c r="N193" s="43"/>
      <c r="O193" s="43"/>
      <c r="P193" s="44"/>
      <c r="Q193" s="44"/>
      <c r="R193" s="44"/>
      <c r="S193" s="44"/>
      <c r="T193" s="36"/>
      <c r="U193" s="36"/>
    </row>
    <row r="194" spans="13:21">
      <c r="M194" s="50"/>
      <c r="N194" s="43"/>
      <c r="O194" s="43"/>
      <c r="P194" s="44"/>
      <c r="Q194" s="44"/>
      <c r="R194" s="44"/>
      <c r="S194" s="44"/>
      <c r="T194" s="36"/>
      <c r="U194" s="36"/>
    </row>
    <row r="195" spans="13:21">
      <c r="M195" s="50"/>
      <c r="N195" s="43"/>
      <c r="O195" s="43"/>
      <c r="P195" s="44"/>
      <c r="Q195" s="44"/>
      <c r="R195" s="44"/>
      <c r="S195" s="44"/>
      <c r="T195" s="36"/>
      <c r="U195" s="36"/>
    </row>
    <row r="196" spans="13:21">
      <c r="M196" s="50"/>
      <c r="N196" s="43"/>
      <c r="O196" s="43"/>
      <c r="P196" s="44"/>
      <c r="Q196" s="44"/>
      <c r="R196" s="44"/>
      <c r="S196" s="44"/>
      <c r="T196" s="36"/>
      <c r="U196" s="36"/>
    </row>
    <row r="197" spans="13:21">
      <c r="M197" s="50"/>
      <c r="N197" s="43"/>
      <c r="O197" s="43"/>
      <c r="P197" s="44"/>
      <c r="Q197" s="44"/>
      <c r="R197" s="44"/>
      <c r="S197" s="44"/>
      <c r="T197" s="36"/>
      <c r="U197" s="36"/>
    </row>
    <row r="198" spans="13:21">
      <c r="M198" s="50"/>
      <c r="N198" s="43"/>
      <c r="O198" s="43"/>
      <c r="P198" s="44"/>
      <c r="Q198" s="44"/>
      <c r="R198" s="44"/>
      <c r="S198" s="44"/>
      <c r="T198" s="36"/>
      <c r="U198" s="36"/>
    </row>
    <row r="199" spans="13:21">
      <c r="M199" s="50"/>
      <c r="N199" s="43"/>
      <c r="O199" s="43"/>
      <c r="P199" s="44"/>
      <c r="Q199" s="44"/>
      <c r="R199" s="44"/>
      <c r="S199" s="44"/>
      <c r="T199" s="36"/>
      <c r="U199" s="36"/>
    </row>
    <row r="200" spans="13:21">
      <c r="M200" s="50"/>
      <c r="N200" s="43"/>
      <c r="O200" s="43"/>
      <c r="P200" s="44"/>
      <c r="Q200" s="44"/>
      <c r="R200" s="44"/>
      <c r="S200" s="44"/>
      <c r="T200" s="36"/>
      <c r="U200" s="36"/>
    </row>
    <row r="201" spans="13:21">
      <c r="M201" s="50"/>
      <c r="N201" s="43"/>
      <c r="O201" s="43"/>
      <c r="P201" s="44"/>
      <c r="Q201" s="44"/>
      <c r="R201" s="44"/>
      <c r="S201" s="44"/>
      <c r="T201" s="36"/>
      <c r="U201" s="36"/>
    </row>
    <row r="202" spans="13:21">
      <c r="M202" s="50"/>
      <c r="N202" s="43"/>
      <c r="O202" s="43"/>
      <c r="P202" s="44"/>
      <c r="Q202" s="44"/>
      <c r="R202" s="44"/>
      <c r="S202" s="44"/>
      <c r="T202" s="36"/>
      <c r="U202" s="36"/>
    </row>
    <row r="203" spans="13:21">
      <c r="M203" s="50"/>
      <c r="N203" s="43"/>
      <c r="O203" s="43"/>
      <c r="P203" s="44"/>
      <c r="Q203" s="44"/>
      <c r="R203" s="44"/>
      <c r="S203" s="44"/>
      <c r="T203" s="36"/>
      <c r="U203" s="36"/>
    </row>
    <row r="204" spans="13:21">
      <c r="M204" s="50"/>
      <c r="N204" s="43"/>
      <c r="O204" s="43"/>
      <c r="P204" s="44"/>
      <c r="Q204" s="44"/>
      <c r="R204" s="44"/>
      <c r="S204" s="44"/>
      <c r="T204" s="36"/>
      <c r="U204" s="36"/>
    </row>
    <row r="205" spans="13:21">
      <c r="M205" s="50"/>
      <c r="N205" s="43"/>
      <c r="O205" s="43"/>
      <c r="P205" s="44"/>
      <c r="Q205" s="44"/>
      <c r="R205" s="44"/>
      <c r="S205" s="44"/>
      <c r="T205" s="36"/>
      <c r="U205" s="36"/>
    </row>
    <row r="206" spans="13:21">
      <c r="M206" s="50"/>
      <c r="N206" s="43"/>
      <c r="O206" s="43"/>
      <c r="P206" s="44"/>
      <c r="Q206" s="44"/>
      <c r="R206" s="44"/>
      <c r="S206" s="44"/>
      <c r="T206" s="36"/>
      <c r="U206" s="36"/>
    </row>
    <row r="207" spans="13:21">
      <c r="M207" s="50"/>
      <c r="N207" s="43"/>
      <c r="O207" s="43"/>
      <c r="P207" s="44"/>
      <c r="Q207" s="44"/>
      <c r="R207" s="44"/>
      <c r="S207" s="44"/>
      <c r="T207" s="36"/>
      <c r="U207" s="36"/>
    </row>
    <row r="208" spans="13:21">
      <c r="M208" s="50"/>
      <c r="N208" s="43"/>
      <c r="O208" s="43"/>
      <c r="P208" s="44"/>
      <c r="Q208" s="44"/>
      <c r="R208" s="44"/>
      <c r="S208" s="44"/>
      <c r="T208" s="36"/>
      <c r="U208" s="36"/>
    </row>
    <row r="209" spans="13:21">
      <c r="M209" s="50"/>
      <c r="N209" s="43"/>
      <c r="O209" s="43"/>
      <c r="P209" s="44"/>
      <c r="Q209" s="44"/>
      <c r="R209" s="44"/>
      <c r="S209" s="44"/>
      <c r="T209" s="36"/>
      <c r="U209" s="36"/>
    </row>
    <row r="210" spans="13:21">
      <c r="M210" s="50"/>
      <c r="N210" s="43"/>
      <c r="O210" s="43"/>
      <c r="P210" s="44"/>
      <c r="Q210" s="44"/>
      <c r="R210" s="44"/>
      <c r="S210" s="44"/>
      <c r="T210" s="36"/>
      <c r="U210" s="36"/>
    </row>
    <row r="211" spans="13:21">
      <c r="M211" s="50"/>
      <c r="N211" s="43"/>
      <c r="O211" s="43"/>
      <c r="P211" s="44"/>
      <c r="Q211" s="44"/>
      <c r="R211" s="44"/>
      <c r="S211" s="44"/>
      <c r="T211" s="36"/>
      <c r="U211" s="36"/>
    </row>
    <row r="212" spans="13:21">
      <c r="M212" s="50"/>
      <c r="N212" s="43"/>
      <c r="O212" s="43"/>
      <c r="P212" s="44"/>
      <c r="Q212" s="44"/>
      <c r="R212" s="44"/>
      <c r="S212" s="44"/>
      <c r="T212" s="36"/>
      <c r="U212" s="36"/>
    </row>
    <row r="213" spans="13:21">
      <c r="M213" s="50"/>
      <c r="N213" s="43"/>
      <c r="O213" s="43"/>
      <c r="P213" s="44"/>
      <c r="Q213" s="44"/>
      <c r="R213" s="44"/>
      <c r="S213" s="44"/>
      <c r="T213" s="36"/>
      <c r="U213" s="36"/>
    </row>
    <row r="214" spans="13:21">
      <c r="M214" s="50"/>
      <c r="N214" s="43"/>
      <c r="O214" s="43"/>
      <c r="P214" s="44"/>
      <c r="Q214" s="44"/>
      <c r="R214" s="44"/>
      <c r="S214" s="44"/>
      <c r="T214" s="36"/>
      <c r="U214" s="36"/>
    </row>
    <row r="215" spans="13:21">
      <c r="M215" s="50"/>
      <c r="N215" s="43"/>
      <c r="O215" s="43"/>
      <c r="P215" s="44"/>
      <c r="Q215" s="44"/>
      <c r="R215" s="44"/>
      <c r="S215" s="44"/>
      <c r="T215" s="36"/>
      <c r="U215" s="36"/>
    </row>
    <row r="216" spans="13:21">
      <c r="M216" s="50"/>
      <c r="N216" s="43"/>
      <c r="O216" s="43"/>
      <c r="P216" s="44"/>
      <c r="Q216" s="44"/>
      <c r="R216" s="44"/>
      <c r="S216" s="44"/>
      <c r="T216" s="36"/>
      <c r="U216" s="36"/>
    </row>
    <row r="217" spans="13:21">
      <c r="M217" s="50"/>
      <c r="N217" s="43"/>
      <c r="O217" s="43"/>
      <c r="P217" s="44"/>
      <c r="Q217" s="44"/>
      <c r="R217" s="44"/>
      <c r="S217" s="44"/>
      <c r="T217" s="36"/>
      <c r="U217" s="36"/>
    </row>
    <row r="218" spans="13:21">
      <c r="M218" s="50"/>
      <c r="N218" s="36"/>
      <c r="O218" s="36"/>
      <c r="P218" s="36"/>
      <c r="Q218" s="36"/>
      <c r="R218" s="36"/>
      <c r="S218" s="36"/>
      <c r="T218" s="36"/>
      <c r="U218" s="36"/>
    </row>
  </sheetData>
  <sheetProtection password="A0AB" sheet="1" objects="1" scenarios="1" selectLockedCells="1"/>
  <mergeCells count="18">
    <mergeCell ref="J1:T1"/>
    <mergeCell ref="B12:D12"/>
    <mergeCell ref="W48:AE48"/>
    <mergeCell ref="W47:AE47"/>
    <mergeCell ref="W46:AE46"/>
    <mergeCell ref="W2:AE2"/>
    <mergeCell ref="B2:F2"/>
    <mergeCell ref="Q2:R2"/>
    <mergeCell ref="J3:K3"/>
    <mergeCell ref="B1:F1"/>
    <mergeCell ref="B11:D11"/>
    <mergeCell ref="B22:D22"/>
    <mergeCell ref="B23:D23"/>
    <mergeCell ref="B17:F17"/>
    <mergeCell ref="B18:F18"/>
    <mergeCell ref="B20:D20"/>
    <mergeCell ref="B21:D21"/>
    <mergeCell ref="W49:AE49"/>
  </mergeCells>
  <conditionalFormatting sqref="L4:L191">
    <cfRule type="cellIs" dxfId="0" priority="2" operator="equal">
      <formul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15"/>
  <sheetViews>
    <sheetView tabSelected="1" workbookViewId="0">
      <selection activeCell="B16" sqref="B16"/>
    </sheetView>
  </sheetViews>
  <sheetFormatPr defaultRowHeight="15"/>
  <cols>
    <col min="2" max="2" width="130.28515625" customWidth="1"/>
  </cols>
  <sheetData>
    <row r="1" spans="1:2">
      <c r="A1" s="162" t="s">
        <v>560</v>
      </c>
      <c r="B1" s="162" t="s">
        <v>561</v>
      </c>
    </row>
    <row r="2" spans="1:2" ht="31.5">
      <c r="A2" s="206">
        <v>1</v>
      </c>
      <c r="B2" s="163" t="s">
        <v>562</v>
      </c>
    </row>
    <row r="3" spans="1:2" ht="15.75">
      <c r="A3" s="206"/>
      <c r="B3" s="164" t="s">
        <v>563</v>
      </c>
    </row>
    <row r="4" spans="1:2" ht="47.25">
      <c r="A4" s="206"/>
      <c r="B4" s="163" t="s">
        <v>564</v>
      </c>
    </row>
    <row r="5" spans="1:2" ht="15.75">
      <c r="A5" s="206"/>
      <c r="B5" s="163" t="s">
        <v>565</v>
      </c>
    </row>
    <row r="6" spans="1:2" ht="15.75">
      <c r="A6" s="206"/>
      <c r="B6" s="163" t="s">
        <v>566</v>
      </c>
    </row>
    <row r="7" spans="1:2">
      <c r="A7" s="165">
        <v>2</v>
      </c>
      <c r="B7" s="166" t="s">
        <v>567</v>
      </c>
    </row>
    <row r="8" spans="1:2" ht="30">
      <c r="A8" s="165">
        <v>3</v>
      </c>
      <c r="B8" s="166" t="s">
        <v>568</v>
      </c>
    </row>
    <row r="9" spans="1:2">
      <c r="A9" s="165">
        <v>4</v>
      </c>
      <c r="B9" s="166" t="s">
        <v>569</v>
      </c>
    </row>
    <row r="10" spans="1:2">
      <c r="A10" s="161">
        <v>5</v>
      </c>
      <c r="B10" s="160" t="s">
        <v>600</v>
      </c>
    </row>
    <row r="11" spans="1:2">
      <c r="A11" s="161"/>
      <c r="B11" s="160"/>
    </row>
    <row r="12" spans="1:2">
      <c r="A12" s="161"/>
      <c r="B12" s="160"/>
    </row>
    <row r="13" spans="1:2">
      <c r="A13" s="143"/>
    </row>
    <row r="14" spans="1:2">
      <c r="A14" s="143"/>
    </row>
    <row r="15" spans="1:2">
      <c r="A15" s="143"/>
    </row>
  </sheetData>
  <sheetProtection password="A0AB" sheet="1" objects="1" scenarios="1" selectLockedCells="1"/>
  <mergeCells count="1">
    <mergeCell ref="A2:A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9</vt:i4>
      </vt:variant>
    </vt:vector>
  </HeadingPairs>
  <TitlesOfParts>
    <vt:vector size="12" baseType="lpstr">
      <vt:lpstr>Estimator</vt:lpstr>
      <vt:lpstr>Utilities</vt:lpstr>
      <vt:lpstr>NOTICE</vt:lpstr>
      <vt:lpstr>sun_ch</vt:lpstr>
      <vt:lpstr>COS_SIGMA_ch</vt:lpstr>
      <vt:lpstr>P_D_ch</vt:lpstr>
      <vt:lpstr>P_S_ch</vt:lpstr>
      <vt:lpstr>P_C_ch</vt:lpstr>
      <vt:lpstr>P_G_ch</vt:lpstr>
      <vt:lpstr>P_HS_ch</vt:lpstr>
      <vt:lpstr>ROI_ch</vt:lpstr>
      <vt:lpstr>DNI_ch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Duvall</dc:creator>
  <cp:lastModifiedBy>Edward Duvall</cp:lastModifiedBy>
  <dcterms:created xsi:type="dcterms:W3CDTF">2021-12-12T01:35:23Z</dcterms:created>
  <dcterms:modified xsi:type="dcterms:W3CDTF">2022-03-27T21:32:42Z</dcterms:modified>
</cp:coreProperties>
</file>